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30" windowWidth="16515" windowHeight="748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356" i="1" l="1"/>
  <c r="I356" i="1"/>
  <c r="J355" i="1"/>
  <c r="I355" i="1"/>
  <c r="J354" i="1"/>
  <c r="I354" i="1"/>
  <c r="J353" i="1"/>
  <c r="I353" i="1"/>
  <c r="J352" i="1"/>
  <c r="I352" i="1"/>
  <c r="J351" i="1"/>
  <c r="I351" i="1"/>
  <c r="J350" i="1"/>
  <c r="I350" i="1"/>
  <c r="J349" i="1"/>
  <c r="I349" i="1"/>
  <c r="J348" i="1"/>
  <c r="I348" i="1"/>
  <c r="A348" i="1"/>
  <c r="A349" i="1" s="1"/>
  <c r="A350" i="1" s="1"/>
  <c r="A351" i="1" s="1"/>
  <c r="A352" i="1" s="1"/>
  <c r="A353" i="1" s="1"/>
  <c r="A354" i="1" s="1"/>
  <c r="A355" i="1" s="1"/>
  <c r="I347" i="1"/>
  <c r="G347" i="1"/>
  <c r="J347" i="1" s="1"/>
  <c r="A347" i="1"/>
  <c r="J346" i="1"/>
  <c r="I346" i="1"/>
  <c r="J345" i="1"/>
  <c r="I345" i="1"/>
  <c r="I344" i="1"/>
  <c r="G344" i="1"/>
  <c r="J344" i="1" s="1"/>
  <c r="J343" i="1"/>
  <c r="G343" i="1"/>
  <c r="I343" i="1" s="1"/>
  <c r="H342" i="1"/>
  <c r="G342" i="1"/>
  <c r="J341" i="1"/>
  <c r="I341" i="1"/>
  <c r="J340" i="1"/>
  <c r="I340" i="1"/>
  <c r="J338" i="1"/>
  <c r="I338" i="1"/>
  <c r="J335" i="1"/>
  <c r="I335" i="1"/>
  <c r="J331" i="1"/>
  <c r="I331" i="1"/>
  <c r="J330" i="1"/>
  <c r="I330" i="1"/>
  <c r="J329" i="1"/>
  <c r="I329" i="1"/>
  <c r="J328" i="1"/>
  <c r="I328" i="1"/>
  <c r="J327" i="1"/>
  <c r="I327" i="1"/>
  <c r="J326" i="1"/>
  <c r="I326" i="1"/>
  <c r="J325" i="1"/>
  <c r="I325" i="1"/>
  <c r="J324" i="1"/>
  <c r="I324" i="1"/>
  <c r="A324" i="1"/>
  <c r="A325" i="1" s="1"/>
  <c r="A326" i="1" s="1"/>
  <c r="A327" i="1" s="1"/>
  <c r="A328" i="1" s="1"/>
  <c r="A329" i="1" s="1"/>
  <c r="A330" i="1" s="1"/>
  <c r="A331" i="1" s="1"/>
  <c r="J323" i="1"/>
  <c r="I323" i="1"/>
  <c r="J322" i="1"/>
  <c r="I322" i="1"/>
  <c r="J321" i="1"/>
  <c r="I321" i="1"/>
  <c r="J320" i="1"/>
  <c r="I320" i="1"/>
  <c r="J319" i="1"/>
  <c r="I319" i="1"/>
  <c r="J318" i="1"/>
  <c r="I318" i="1"/>
  <c r="J317" i="1"/>
  <c r="I317" i="1"/>
  <c r="J316" i="1"/>
  <c r="I316" i="1"/>
  <c r="A316" i="1"/>
  <c r="J315" i="1"/>
  <c r="I315" i="1"/>
  <c r="J314" i="1"/>
  <c r="I314" i="1"/>
  <c r="J313" i="1"/>
  <c r="I313" i="1"/>
  <c r="J312" i="1"/>
  <c r="I312" i="1"/>
  <c r="J311" i="1"/>
  <c r="I311" i="1"/>
  <c r="J310" i="1"/>
  <c r="I310" i="1"/>
  <c r="J309" i="1"/>
  <c r="I309" i="1"/>
  <c r="A309" i="1"/>
  <c r="A317" i="1" s="1"/>
  <c r="J308" i="1"/>
  <c r="I308" i="1"/>
  <c r="J307" i="1"/>
  <c r="I307" i="1"/>
  <c r="J306" i="1"/>
  <c r="I306" i="1"/>
  <c r="J305" i="1"/>
  <c r="I305" i="1"/>
  <c r="J304" i="1"/>
  <c r="I304" i="1"/>
  <c r="J303" i="1"/>
  <c r="I303" i="1"/>
  <c r="J302" i="1"/>
  <c r="I302" i="1"/>
  <c r="J301" i="1"/>
  <c r="I301" i="1"/>
  <c r="J300" i="1"/>
  <c r="I300" i="1"/>
  <c r="J299" i="1"/>
  <c r="I299" i="1"/>
  <c r="J298" i="1"/>
  <c r="I298" i="1"/>
  <c r="J297" i="1"/>
  <c r="I297" i="1"/>
  <c r="J296" i="1"/>
  <c r="I296" i="1"/>
  <c r="J295" i="1"/>
  <c r="I295" i="1"/>
  <c r="J294" i="1"/>
  <c r="I294" i="1"/>
  <c r="J293" i="1"/>
  <c r="I293" i="1"/>
  <c r="J292" i="1"/>
  <c r="I292" i="1"/>
  <c r="J291" i="1"/>
  <c r="I291" i="1"/>
  <c r="J290" i="1"/>
  <c r="I290" i="1"/>
  <c r="J289" i="1"/>
  <c r="I289" i="1"/>
  <c r="J288" i="1"/>
  <c r="I288" i="1"/>
  <c r="J287" i="1"/>
  <c r="I287" i="1"/>
  <c r="J286" i="1"/>
  <c r="I286" i="1"/>
  <c r="J285" i="1"/>
  <c r="I285" i="1"/>
  <c r="J284" i="1"/>
  <c r="I284" i="1"/>
  <c r="J283" i="1"/>
  <c r="I283" i="1"/>
  <c r="J282" i="1"/>
  <c r="I282" i="1"/>
  <c r="J281" i="1"/>
  <c r="I281" i="1"/>
  <c r="J280" i="1"/>
  <c r="I280" i="1"/>
  <c r="J279" i="1"/>
  <c r="I279" i="1"/>
  <c r="J278" i="1"/>
  <c r="I278" i="1"/>
  <c r="J277" i="1"/>
  <c r="I277" i="1"/>
  <c r="J276" i="1"/>
  <c r="I276" i="1"/>
  <c r="J275" i="1"/>
  <c r="I275" i="1"/>
  <c r="J274" i="1"/>
  <c r="I274" i="1"/>
  <c r="A274" i="1"/>
  <c r="A275" i="1" s="1"/>
  <c r="A276" i="1" s="1"/>
  <c r="A277" i="1" s="1"/>
  <c r="A278" i="1" s="1"/>
  <c r="A279" i="1" s="1"/>
  <c r="A280" i="1" s="1"/>
  <c r="A281" i="1" s="1"/>
  <c r="J273" i="1"/>
  <c r="I273" i="1"/>
  <c r="J272" i="1"/>
  <c r="I272" i="1"/>
  <c r="A272" i="1"/>
  <c r="A273" i="1" s="1"/>
  <c r="J271" i="1"/>
  <c r="I271" i="1"/>
  <c r="A271" i="1"/>
  <c r="J270" i="1"/>
  <c r="I270" i="1"/>
  <c r="J269" i="1"/>
  <c r="I269" i="1"/>
  <c r="J268" i="1"/>
  <c r="I268" i="1"/>
  <c r="J267" i="1"/>
  <c r="I267" i="1"/>
  <c r="J266" i="1"/>
  <c r="I266" i="1"/>
  <c r="J265" i="1"/>
  <c r="I265" i="1"/>
  <c r="J264" i="1"/>
  <c r="I264" i="1"/>
  <c r="H262" i="1"/>
  <c r="J262" i="1" s="1"/>
  <c r="G262" i="1"/>
  <c r="J261" i="1"/>
  <c r="I261" i="1"/>
  <c r="J260" i="1"/>
  <c r="I260" i="1"/>
  <c r="J259" i="1"/>
  <c r="I259" i="1"/>
  <c r="J258" i="1"/>
  <c r="I258" i="1"/>
  <c r="J257" i="1"/>
  <c r="G257" i="1"/>
  <c r="I257" i="1" s="1"/>
  <c r="J256" i="1"/>
  <c r="I256" i="1"/>
  <c r="I255" i="1"/>
  <c r="G255" i="1"/>
  <c r="J255" i="1" s="1"/>
  <c r="J254" i="1"/>
  <c r="H254" i="1"/>
  <c r="H249" i="1" s="1"/>
  <c r="G254" i="1"/>
  <c r="I254" i="1" s="1"/>
  <c r="J253" i="1"/>
  <c r="I253" i="1"/>
  <c r="J252" i="1"/>
  <c r="I252" i="1"/>
  <c r="G251" i="1"/>
  <c r="I251" i="1" s="1"/>
  <c r="J250" i="1"/>
  <c r="I250" i="1"/>
  <c r="G249" i="1"/>
  <c r="J249" i="1" s="1"/>
  <c r="G248" i="1"/>
  <c r="G247" i="1"/>
  <c r="J246" i="1"/>
  <c r="I246" i="1"/>
  <c r="J245" i="1"/>
  <c r="I245" i="1"/>
  <c r="J244" i="1"/>
  <c r="I244" i="1"/>
  <c r="J243" i="1"/>
  <c r="I243" i="1"/>
  <c r="J242" i="1"/>
  <c r="I242" i="1"/>
  <c r="J241" i="1"/>
  <c r="I241" i="1"/>
  <c r="J240" i="1"/>
  <c r="I240" i="1"/>
  <c r="J239" i="1"/>
  <c r="I239" i="1"/>
  <c r="A239" i="1"/>
  <c r="A240" i="1" s="1"/>
  <c r="A241" i="1" s="1"/>
  <c r="A242" i="1" s="1"/>
  <c r="J238" i="1"/>
  <c r="I238" i="1"/>
  <c r="J237" i="1"/>
  <c r="I237" i="1"/>
  <c r="A237" i="1"/>
  <c r="A238" i="1" s="1"/>
  <c r="J236" i="1"/>
  <c r="I236" i="1"/>
  <c r="A236" i="1"/>
  <c r="G235" i="1"/>
  <c r="I235" i="1" s="1"/>
  <c r="H234" i="1"/>
  <c r="H233" i="1"/>
  <c r="J232" i="1"/>
  <c r="I232" i="1"/>
  <c r="J231" i="1"/>
  <c r="I231" i="1"/>
  <c r="H230" i="1"/>
  <c r="G230" i="1"/>
  <c r="J230" i="1" s="1"/>
  <c r="H229" i="1"/>
  <c r="G229" i="1"/>
  <c r="J229" i="1" s="1"/>
  <c r="H228" i="1"/>
  <c r="I227" i="1"/>
  <c r="G227" i="1"/>
  <c r="J227" i="1" s="1"/>
  <c r="J226" i="1"/>
  <c r="H226" i="1"/>
  <c r="G226" i="1"/>
  <c r="I226" i="1" s="1"/>
  <c r="H225" i="1"/>
  <c r="J223" i="1"/>
  <c r="I223" i="1"/>
  <c r="J222" i="1"/>
  <c r="I222" i="1"/>
  <c r="G221" i="1"/>
  <c r="I221" i="1" s="1"/>
  <c r="I220" i="1"/>
  <c r="G220" i="1"/>
  <c r="J220" i="1" s="1"/>
  <c r="G219" i="1"/>
  <c r="I219" i="1" s="1"/>
  <c r="J218" i="1"/>
  <c r="I218" i="1"/>
  <c r="J217" i="1"/>
  <c r="I217" i="1"/>
  <c r="I216" i="1"/>
  <c r="G216" i="1"/>
  <c r="J216" i="1" s="1"/>
  <c r="G215" i="1"/>
  <c r="I215" i="1" s="1"/>
  <c r="I214" i="1"/>
  <c r="G214" i="1"/>
  <c r="J214" i="1" s="1"/>
  <c r="G213" i="1"/>
  <c r="I213" i="1" s="1"/>
  <c r="I212" i="1"/>
  <c r="G212" i="1"/>
  <c r="J212" i="1" s="1"/>
  <c r="J211" i="1"/>
  <c r="I211" i="1"/>
  <c r="J210" i="1"/>
  <c r="I210" i="1"/>
  <c r="J209" i="1"/>
  <c r="I209" i="1"/>
  <c r="G208" i="1"/>
  <c r="I208" i="1" s="1"/>
  <c r="J207" i="1"/>
  <c r="I207" i="1"/>
  <c r="H206" i="1"/>
  <c r="H205" i="1"/>
  <c r="I204" i="1"/>
  <c r="G204" i="1"/>
  <c r="J204" i="1" s="1"/>
  <c r="H203" i="1"/>
  <c r="J203" i="1" s="1"/>
  <c r="G203" i="1"/>
  <c r="J202" i="1"/>
  <c r="I202" i="1"/>
  <c r="J201" i="1"/>
  <c r="I201" i="1"/>
  <c r="J200" i="1"/>
  <c r="H200" i="1"/>
  <c r="I200" i="1" s="1"/>
  <c r="I199" i="1"/>
  <c r="G199" i="1"/>
  <c r="J199" i="1" s="1"/>
  <c r="H198" i="1"/>
  <c r="G198" i="1"/>
  <c r="I198" i="1" s="1"/>
  <c r="I197" i="1"/>
  <c r="G197" i="1"/>
  <c r="J197" i="1" s="1"/>
  <c r="H196" i="1"/>
  <c r="J196" i="1" s="1"/>
  <c r="G196" i="1"/>
  <c r="I196" i="1" s="1"/>
  <c r="J195" i="1"/>
  <c r="I195" i="1"/>
  <c r="J194" i="1"/>
  <c r="I194" i="1"/>
  <c r="J193" i="1"/>
  <c r="I193" i="1"/>
  <c r="H192" i="1"/>
  <c r="J192" i="1" s="1"/>
  <c r="G192" i="1"/>
  <c r="I192" i="1" s="1"/>
  <c r="G191" i="1"/>
  <c r="J191" i="1" s="1"/>
  <c r="J190" i="1"/>
  <c r="I190" i="1"/>
  <c r="I189" i="1"/>
  <c r="G189" i="1"/>
  <c r="J189" i="1" s="1"/>
  <c r="H188" i="1"/>
  <c r="J187" i="1"/>
  <c r="I187" i="1"/>
  <c r="G186" i="1"/>
  <c r="J186" i="1" s="1"/>
  <c r="I185" i="1"/>
  <c r="G185" i="1"/>
  <c r="J185" i="1" s="1"/>
  <c r="J184" i="1"/>
  <c r="I184" i="1"/>
  <c r="G183" i="1"/>
  <c r="J183" i="1" s="1"/>
  <c r="I182" i="1"/>
  <c r="G182" i="1"/>
  <c r="J182" i="1" s="1"/>
  <c r="H181" i="1"/>
  <c r="J180" i="1"/>
  <c r="I180" i="1"/>
  <c r="J179" i="1"/>
  <c r="I179" i="1"/>
  <c r="J178" i="1"/>
  <c r="I178" i="1"/>
  <c r="G177" i="1"/>
  <c r="J177" i="1" s="1"/>
  <c r="J176" i="1"/>
  <c r="I176" i="1"/>
  <c r="I175" i="1"/>
  <c r="G175" i="1"/>
  <c r="J175" i="1" s="1"/>
  <c r="G174" i="1"/>
  <c r="J174" i="1" s="1"/>
  <c r="I173" i="1"/>
  <c r="G173" i="1"/>
  <c r="J173" i="1" s="1"/>
  <c r="G172" i="1"/>
  <c r="J172" i="1" s="1"/>
  <c r="H171" i="1"/>
  <c r="G171" i="1"/>
  <c r="I171" i="1" s="1"/>
  <c r="I170" i="1"/>
  <c r="G170" i="1"/>
  <c r="J170" i="1" s="1"/>
  <c r="G169" i="1"/>
  <c r="J169" i="1" s="1"/>
  <c r="I168" i="1"/>
  <c r="G168" i="1"/>
  <c r="J168" i="1" s="1"/>
  <c r="H167" i="1"/>
  <c r="H166" i="1"/>
  <c r="G165" i="1"/>
  <c r="J165" i="1" s="1"/>
  <c r="H164" i="1"/>
  <c r="G164" i="1"/>
  <c r="I164" i="1" s="1"/>
  <c r="I163" i="1"/>
  <c r="G163" i="1"/>
  <c r="J163" i="1" s="1"/>
  <c r="H162" i="1"/>
  <c r="J161" i="1"/>
  <c r="I161" i="1"/>
  <c r="J160" i="1"/>
  <c r="I160" i="1"/>
  <c r="H159" i="1"/>
  <c r="J159" i="1" s="1"/>
  <c r="G159" i="1"/>
  <c r="I159" i="1" s="1"/>
  <c r="J158" i="1"/>
  <c r="I158" i="1"/>
  <c r="J157" i="1"/>
  <c r="I157" i="1"/>
  <c r="J156" i="1"/>
  <c r="I156" i="1"/>
  <c r="G155" i="1"/>
  <c r="J155" i="1" s="1"/>
  <c r="I154" i="1"/>
  <c r="G154" i="1"/>
  <c r="J154" i="1" s="1"/>
  <c r="H153" i="1"/>
  <c r="G152" i="1"/>
  <c r="J152" i="1" s="1"/>
  <c r="H151" i="1"/>
  <c r="G151" i="1"/>
  <c r="I151" i="1" s="1"/>
  <c r="J150" i="1"/>
  <c r="I150" i="1"/>
  <c r="I149" i="1"/>
  <c r="G149" i="1"/>
  <c r="J149" i="1" s="1"/>
  <c r="H148" i="1"/>
  <c r="J148" i="1" s="1"/>
  <c r="G148" i="1"/>
  <c r="I148" i="1" s="1"/>
  <c r="G147" i="1"/>
  <c r="J147" i="1" s="1"/>
  <c r="H146" i="1"/>
  <c r="G146" i="1"/>
  <c r="I146" i="1" s="1"/>
  <c r="J144" i="1"/>
  <c r="I144" i="1"/>
  <c r="I143" i="1"/>
  <c r="H143" i="1"/>
  <c r="J143" i="1" s="1"/>
  <c r="J142" i="1"/>
  <c r="I142" i="1"/>
  <c r="J141" i="1"/>
  <c r="I141" i="1"/>
  <c r="J140" i="1"/>
  <c r="I140" i="1"/>
  <c r="J139" i="1"/>
  <c r="I139" i="1"/>
  <c r="J138" i="1"/>
  <c r="I138" i="1"/>
  <c r="H137" i="1"/>
  <c r="J137" i="1" s="1"/>
  <c r="G137" i="1"/>
  <c r="I137" i="1" s="1"/>
  <c r="J136" i="1"/>
  <c r="I136" i="1"/>
  <c r="J135" i="1"/>
  <c r="I135" i="1"/>
  <c r="J134" i="1"/>
  <c r="I134" i="1"/>
  <c r="J133" i="1"/>
  <c r="I133" i="1"/>
  <c r="J132" i="1"/>
  <c r="I132" i="1"/>
  <c r="J131" i="1"/>
  <c r="I131" i="1"/>
  <c r="J130" i="1"/>
  <c r="I130" i="1"/>
  <c r="H129" i="1"/>
  <c r="J129" i="1" s="1"/>
  <c r="G129" i="1"/>
  <c r="I129" i="1" s="1"/>
  <c r="J128" i="1"/>
  <c r="I128" i="1"/>
  <c r="J127" i="1"/>
  <c r="I127" i="1"/>
  <c r="J126" i="1"/>
  <c r="I126" i="1"/>
  <c r="J125" i="1"/>
  <c r="I125" i="1"/>
  <c r="J124" i="1"/>
  <c r="I124" i="1"/>
  <c r="J123" i="1"/>
  <c r="I123" i="1"/>
  <c r="J122" i="1"/>
  <c r="I122" i="1"/>
  <c r="H121" i="1"/>
  <c r="J121" i="1" s="1"/>
  <c r="G121" i="1"/>
  <c r="I121" i="1" s="1"/>
  <c r="J120" i="1"/>
  <c r="I120" i="1"/>
  <c r="H119" i="1"/>
  <c r="J119" i="1" s="1"/>
  <c r="G119" i="1"/>
  <c r="I119" i="1" s="1"/>
  <c r="J118" i="1"/>
  <c r="I118" i="1"/>
  <c r="J117" i="1"/>
  <c r="I117" i="1"/>
  <c r="J116" i="1"/>
  <c r="I116" i="1"/>
  <c r="H115" i="1"/>
  <c r="J115" i="1" s="1"/>
  <c r="J114" i="1"/>
  <c r="I114" i="1"/>
  <c r="J113" i="1"/>
  <c r="I113" i="1"/>
  <c r="J112" i="1"/>
  <c r="I112" i="1"/>
  <c r="J111" i="1"/>
  <c r="I111" i="1"/>
  <c r="J110" i="1"/>
  <c r="I110" i="1"/>
  <c r="G109" i="1"/>
  <c r="G108" i="1"/>
  <c r="I106" i="1"/>
  <c r="G106" i="1"/>
  <c r="J106" i="1" s="1"/>
  <c r="G105" i="1"/>
  <c r="J105" i="1" s="1"/>
  <c r="J104" i="1"/>
  <c r="I104" i="1"/>
  <c r="J103" i="1"/>
  <c r="I103" i="1"/>
  <c r="J102" i="1"/>
  <c r="I102" i="1"/>
  <c r="J101" i="1"/>
  <c r="I101" i="1"/>
  <c r="J100" i="1"/>
  <c r="I100" i="1"/>
  <c r="J99" i="1"/>
  <c r="I99" i="1"/>
  <c r="J98" i="1"/>
  <c r="I98" i="1"/>
  <c r="J97" i="1"/>
  <c r="I97" i="1"/>
  <c r="J96" i="1"/>
  <c r="I96" i="1"/>
  <c r="H95" i="1"/>
  <c r="G95" i="1"/>
  <c r="I95" i="1" s="1"/>
  <c r="H94" i="1"/>
  <c r="G94" i="1"/>
  <c r="I94" i="1" s="1"/>
  <c r="J93" i="1"/>
  <c r="I93" i="1"/>
  <c r="J92" i="1"/>
  <c r="I92" i="1"/>
  <c r="J91" i="1"/>
  <c r="I91" i="1"/>
  <c r="J90" i="1"/>
  <c r="I90" i="1"/>
  <c r="J89" i="1"/>
  <c r="I89" i="1"/>
  <c r="H88" i="1"/>
  <c r="G88" i="1"/>
  <c r="I88" i="1" s="1"/>
  <c r="H87" i="1"/>
  <c r="G87" i="1"/>
  <c r="I87" i="1" s="1"/>
  <c r="I86" i="1"/>
  <c r="G86" i="1"/>
  <c r="J86" i="1" s="1"/>
  <c r="J85" i="1"/>
  <c r="I85" i="1"/>
  <c r="G84" i="1"/>
  <c r="J84" i="1" s="1"/>
  <c r="I83" i="1"/>
  <c r="G83" i="1"/>
  <c r="J83" i="1" s="1"/>
  <c r="H82" i="1"/>
  <c r="G81" i="1"/>
  <c r="J81" i="1" s="1"/>
  <c r="H80" i="1"/>
  <c r="G80" i="1"/>
  <c r="I80" i="1" s="1"/>
  <c r="J79" i="1"/>
  <c r="I79" i="1"/>
  <c r="H78" i="1"/>
  <c r="G78" i="1"/>
  <c r="I78" i="1" s="1"/>
  <c r="I77" i="1"/>
  <c r="G77" i="1"/>
  <c r="J77" i="1" s="1"/>
  <c r="J76" i="1"/>
  <c r="I76" i="1"/>
  <c r="J75" i="1"/>
  <c r="I75" i="1"/>
  <c r="J74" i="1"/>
  <c r="I74" i="1"/>
  <c r="J73" i="1"/>
  <c r="I73" i="1"/>
  <c r="J72" i="1"/>
  <c r="I72" i="1"/>
  <c r="J71" i="1"/>
  <c r="I71" i="1"/>
  <c r="J70" i="1"/>
  <c r="I70" i="1"/>
  <c r="J69" i="1"/>
  <c r="I69" i="1"/>
  <c r="J68" i="1"/>
  <c r="I68" i="1"/>
  <c r="J67" i="1"/>
  <c r="I67" i="1"/>
  <c r="J66" i="1"/>
  <c r="I66" i="1"/>
  <c r="J65" i="1"/>
  <c r="I65" i="1"/>
  <c r="J64" i="1"/>
  <c r="I64" i="1"/>
  <c r="J63" i="1"/>
  <c r="I63" i="1"/>
  <c r="J62" i="1"/>
  <c r="I62" i="1"/>
  <c r="J61" i="1"/>
  <c r="I61" i="1"/>
  <c r="J60" i="1"/>
  <c r="I60" i="1"/>
  <c r="J59" i="1"/>
  <c r="I59" i="1"/>
  <c r="J58" i="1"/>
  <c r="I58" i="1"/>
  <c r="J57" i="1"/>
  <c r="I57" i="1"/>
  <c r="J56" i="1"/>
  <c r="I56" i="1"/>
  <c r="J55" i="1"/>
  <c r="I55" i="1"/>
  <c r="J54" i="1"/>
  <c r="I54" i="1"/>
  <c r="J53" i="1"/>
  <c r="I53" i="1"/>
  <c r="J52" i="1"/>
  <c r="I52" i="1"/>
  <c r="J51" i="1"/>
  <c r="I51" i="1"/>
  <c r="J50" i="1"/>
  <c r="I50" i="1"/>
  <c r="J49" i="1"/>
  <c r="I49" i="1"/>
  <c r="J48" i="1"/>
  <c r="I48" i="1"/>
  <c r="J47" i="1"/>
  <c r="I47" i="1"/>
  <c r="J46" i="1"/>
  <c r="I46" i="1"/>
  <c r="J45" i="1"/>
  <c r="I45" i="1"/>
  <c r="J44" i="1"/>
  <c r="I44" i="1"/>
  <c r="J43" i="1"/>
  <c r="I43" i="1"/>
  <c r="J42" i="1"/>
  <c r="I42" i="1"/>
  <c r="J41" i="1"/>
  <c r="I41" i="1"/>
  <c r="J40" i="1"/>
  <c r="I40" i="1"/>
  <c r="J39" i="1"/>
  <c r="I39" i="1"/>
  <c r="J38" i="1"/>
  <c r="I38" i="1"/>
  <c r="J37" i="1"/>
  <c r="I37" i="1"/>
  <c r="J36" i="1"/>
  <c r="I36" i="1"/>
  <c r="J35" i="1"/>
  <c r="I35" i="1"/>
  <c r="J34" i="1"/>
  <c r="I34" i="1"/>
  <c r="J33" i="1"/>
  <c r="I33" i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G25" i="1"/>
  <c r="I25" i="1" s="1"/>
  <c r="H24" i="1"/>
  <c r="G24" i="1"/>
  <c r="I24" i="1" s="1"/>
  <c r="I23" i="1"/>
  <c r="G23" i="1"/>
  <c r="J23" i="1" s="1"/>
  <c r="G22" i="1"/>
  <c r="I22" i="1" s="1"/>
  <c r="I21" i="1"/>
  <c r="G21" i="1"/>
  <c r="J21" i="1" s="1"/>
  <c r="G20" i="1"/>
  <c r="I20" i="1" s="1"/>
  <c r="I19" i="1"/>
  <c r="G19" i="1"/>
  <c r="J19" i="1" s="1"/>
  <c r="G18" i="1"/>
  <c r="J18" i="1" s="1"/>
  <c r="J17" i="1"/>
  <c r="I17" i="1"/>
  <c r="H16" i="1"/>
  <c r="G16" i="1"/>
  <c r="I16" i="1" s="1"/>
  <c r="I15" i="1"/>
  <c r="G15" i="1"/>
  <c r="J15" i="1" s="1"/>
  <c r="H14" i="1"/>
  <c r="J14" i="1" s="1"/>
  <c r="G14" i="1"/>
  <c r="I14" i="1" s="1"/>
  <c r="H13" i="1"/>
  <c r="H12" i="1"/>
  <c r="H6" i="1" s="1"/>
  <c r="J11" i="1"/>
  <c r="I11" i="1"/>
  <c r="J10" i="1"/>
  <c r="I10" i="1"/>
  <c r="H9" i="1"/>
  <c r="J9" i="1" s="1"/>
  <c r="G9" i="1"/>
  <c r="I9" i="1" s="1"/>
  <c r="G8" i="1"/>
  <c r="J8" i="1" s="1"/>
  <c r="H7" i="1"/>
  <c r="G7" i="1"/>
  <c r="I7" i="1" s="1"/>
  <c r="I247" i="1" l="1"/>
  <c r="I248" i="1"/>
  <c r="A283" i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282" i="1"/>
  <c r="H332" i="1"/>
  <c r="H357" i="1" s="1"/>
  <c r="J20" i="1"/>
  <c r="J22" i="1"/>
  <c r="J25" i="1"/>
  <c r="J7" i="1"/>
  <c r="I8" i="1"/>
  <c r="G13" i="1"/>
  <c r="J16" i="1"/>
  <c r="I18" i="1"/>
  <c r="J24" i="1"/>
  <c r="J78" i="1"/>
  <c r="J80" i="1"/>
  <c r="I81" i="1"/>
  <c r="G82" i="1"/>
  <c r="I84" i="1"/>
  <c r="J87" i="1"/>
  <c r="J88" i="1"/>
  <c r="J94" i="1"/>
  <c r="J95" i="1"/>
  <c r="I105" i="1"/>
  <c r="H109" i="1"/>
  <c r="H108" i="1" s="1"/>
  <c r="H107" i="1" s="1"/>
  <c r="H333" i="1" s="1"/>
  <c r="H358" i="1" s="1"/>
  <c r="I115" i="1"/>
  <c r="H145" i="1"/>
  <c r="J146" i="1"/>
  <c r="I147" i="1"/>
  <c r="J151" i="1"/>
  <c r="I152" i="1"/>
  <c r="G153" i="1"/>
  <c r="I155" i="1"/>
  <c r="G162" i="1"/>
  <c r="J164" i="1"/>
  <c r="I165" i="1"/>
  <c r="G167" i="1"/>
  <c r="I169" i="1"/>
  <c r="J171" i="1"/>
  <c r="I172" i="1"/>
  <c r="I174" i="1"/>
  <c r="I177" i="1"/>
  <c r="G181" i="1"/>
  <c r="I183" i="1"/>
  <c r="I186" i="1"/>
  <c r="G188" i="1"/>
  <c r="I191" i="1"/>
  <c r="I203" i="1"/>
  <c r="G206" i="1"/>
  <c r="J208" i="1"/>
  <c r="J213" i="1"/>
  <c r="J215" i="1"/>
  <c r="J219" i="1"/>
  <c r="J221" i="1"/>
  <c r="I230" i="1"/>
  <c r="G234" i="1"/>
  <c r="J235" i="1"/>
  <c r="I249" i="1"/>
  <c r="J251" i="1"/>
  <c r="H248" i="1"/>
  <c r="H247" i="1" s="1"/>
  <c r="I262" i="1"/>
  <c r="J198" i="1"/>
  <c r="I229" i="1"/>
  <c r="J247" i="1"/>
  <c r="J248" i="1"/>
  <c r="J342" i="1"/>
  <c r="G339" i="1"/>
  <c r="I342" i="1"/>
  <c r="J188" i="1" l="1"/>
  <c r="I188" i="1"/>
  <c r="J153" i="1"/>
  <c r="G145" i="1"/>
  <c r="I153" i="1"/>
  <c r="H224" i="1"/>
  <c r="J234" i="1"/>
  <c r="G233" i="1"/>
  <c r="I234" i="1"/>
  <c r="J206" i="1"/>
  <c r="G205" i="1"/>
  <c r="I206" i="1"/>
  <c r="J181" i="1"/>
  <c r="I181" i="1"/>
  <c r="J167" i="1"/>
  <c r="I167" i="1"/>
  <c r="G166" i="1"/>
  <c r="J109" i="1"/>
  <c r="J108" i="1"/>
  <c r="J13" i="1"/>
  <c r="I13" i="1"/>
  <c r="G12" i="1"/>
  <c r="I108" i="1"/>
  <c r="A301" i="1"/>
  <c r="A302" i="1" s="1"/>
  <c r="A303" i="1" s="1"/>
  <c r="A304" i="1" s="1"/>
  <c r="A300" i="1"/>
  <c r="I109" i="1"/>
  <c r="J339" i="1"/>
  <c r="I339" i="1"/>
  <c r="J162" i="1"/>
  <c r="I162" i="1"/>
  <c r="J82" i="1"/>
  <c r="I82" i="1"/>
  <c r="J166" i="1" l="1"/>
  <c r="I166" i="1"/>
  <c r="J205" i="1"/>
  <c r="I205" i="1"/>
  <c r="J12" i="1"/>
  <c r="I12" i="1"/>
  <c r="G6" i="1"/>
  <c r="J233" i="1"/>
  <c r="I233" i="1"/>
  <c r="G228" i="1"/>
  <c r="I145" i="1"/>
  <c r="G107" i="1"/>
  <c r="J145" i="1"/>
  <c r="G224" i="1" l="1"/>
  <c r="I6" i="1"/>
  <c r="J6" i="1"/>
  <c r="G333" i="1"/>
  <c r="I107" i="1"/>
  <c r="J107" i="1"/>
  <c r="J228" i="1"/>
  <c r="G225" i="1"/>
  <c r="I228" i="1"/>
  <c r="I225" i="1" l="1"/>
  <c r="J225" i="1"/>
  <c r="J333" i="1"/>
  <c r="G358" i="1"/>
  <c r="G334" i="1"/>
  <c r="I333" i="1"/>
  <c r="I224" i="1"/>
  <c r="J224" i="1"/>
  <c r="G332" i="1"/>
  <c r="G336" i="1" l="1"/>
  <c r="J332" i="1"/>
  <c r="G357" i="1"/>
  <c r="G337" i="1"/>
  <c r="I332" i="1"/>
  <c r="I334" i="1"/>
  <c r="J334" i="1"/>
  <c r="J358" i="1"/>
  <c r="I358" i="1"/>
  <c r="J357" i="1" l="1"/>
  <c r="G359" i="1"/>
  <c r="I357" i="1"/>
  <c r="J336" i="1"/>
  <c r="I336" i="1"/>
  <c r="I337" i="1"/>
  <c r="J337" i="1"/>
</calcChain>
</file>

<file path=xl/sharedStrings.xml><?xml version="1.0" encoding="utf-8"?>
<sst xmlns="http://schemas.openxmlformats.org/spreadsheetml/2006/main" count="360" uniqueCount="340">
  <si>
    <t>MUNICIPALIDAD DE LAS OVEJAS</t>
  </si>
  <si>
    <t>ESQUEMA AHORRO-INVERSION-FINANCIAMIENTO
SECTOR PÚBLICO MUNICIPAL CONSOLIDADO</t>
  </si>
  <si>
    <t>RECAUDADO</t>
  </si>
  <si>
    <t>- Cifras en Pesos a Valores Corrientes -</t>
  </si>
  <si>
    <t>GASTADO</t>
  </si>
  <si>
    <t>Concepto</t>
  </si>
  <si>
    <t>EJECUCIÓN</t>
  </si>
  <si>
    <t>PRESUPUESTO</t>
  </si>
  <si>
    <t>EJECUTADO</t>
  </si>
  <si>
    <t>EN MAS</t>
  </si>
  <si>
    <t>EN MENOS</t>
  </si>
  <si>
    <t>Año 2012</t>
  </si>
  <si>
    <t>Año 2022</t>
  </si>
  <si>
    <t>AÑO 2022</t>
  </si>
  <si>
    <t>I - INGRESOS CORRIENTES</t>
  </si>
  <si>
    <t>De Origen Nacional</t>
  </si>
  <si>
    <t>Coparticipación Federal de Impuestos</t>
  </si>
  <si>
    <t>De Origen Provincial</t>
  </si>
  <si>
    <t>Coparticipación de Imp. Provinciales</t>
  </si>
  <si>
    <t>Impuestos Provinciales s/Ley 2495</t>
  </si>
  <si>
    <t>De Origen Municipal</t>
  </si>
  <si>
    <t xml:space="preserve">Ingresos Tributarios </t>
  </si>
  <si>
    <t>Impuestos</t>
  </si>
  <si>
    <t>Automotores</t>
  </si>
  <si>
    <t>Tasas Municipales</t>
  </si>
  <si>
    <t>Alumbrado Público</t>
  </si>
  <si>
    <t>Recolección de residuos</t>
  </si>
  <si>
    <t>Suministro de agua potable</t>
  </si>
  <si>
    <t>Red cloacal</t>
  </si>
  <si>
    <t>Habilitacion Comercio e Industria</t>
  </si>
  <si>
    <t>Inspección, Seguridad e Higiene</t>
  </si>
  <si>
    <t>Venta ambulante</t>
  </si>
  <si>
    <t>Derechos</t>
  </si>
  <si>
    <t>Derecho de Oficina</t>
  </si>
  <si>
    <t>Venta Ambulante</t>
  </si>
  <si>
    <t>Publicidad y Propaganda</t>
  </si>
  <si>
    <t>Ocupación y Uso de Espacios Públicos</t>
  </si>
  <si>
    <t>Cementerio</t>
  </si>
  <si>
    <t>De Edificación y Obras en General</t>
  </si>
  <si>
    <t>Mensura y Subdivisón de Tierras</t>
  </si>
  <si>
    <t>Edificación e Inspección de Obras</t>
  </si>
  <si>
    <t>Conservación del Patrimonio</t>
  </si>
  <si>
    <t>De Oficina</t>
  </si>
  <si>
    <t>Derechos Varios</t>
  </si>
  <si>
    <t>Contribuciones</t>
  </si>
  <si>
    <t>Por mejoras</t>
  </si>
  <si>
    <t>Obra Gas Domiciliario</t>
  </si>
  <si>
    <t>Obra Gas chacras</t>
  </si>
  <si>
    <t>Otras Contribuciones</t>
  </si>
  <si>
    <t>Ingresos No Tributarios</t>
  </si>
  <si>
    <t>Alquileres</t>
  </si>
  <si>
    <t>Alquiler Salón</t>
  </si>
  <si>
    <t>Uso Inst. y Predio Gimnasio</t>
  </si>
  <si>
    <t>Uso del Centro de Convenciones</t>
  </si>
  <si>
    <t>Multas</t>
  </si>
  <si>
    <t>Infracciones de transito</t>
  </si>
  <si>
    <t>Infracciones de Tránsito</t>
  </si>
  <si>
    <t>Infracciones de comercio</t>
  </si>
  <si>
    <t>Recargos e Intereses</t>
  </si>
  <si>
    <t>Intereses en Cuentas Especial</t>
  </si>
  <si>
    <t>Intereses por Mora</t>
  </si>
  <si>
    <t>Multas Tribunal de Faltas</t>
  </si>
  <si>
    <t>Concesiones</t>
  </si>
  <si>
    <t>Concesión Campings Municipales</t>
  </si>
  <si>
    <t>Concesión Paseo Artesanos</t>
  </si>
  <si>
    <t>Recupero Gastos Terminal</t>
  </si>
  <si>
    <t>Alquiler espacio terminal</t>
  </si>
  <si>
    <t>Otros Ingresos No Tributarios</t>
  </si>
  <si>
    <t>Ingresos Eventuales</t>
  </si>
  <si>
    <t>Venta de Bienes y Serv. Púb. De la Adm. Públ.</t>
  </si>
  <si>
    <t>Venta de bienes</t>
  </si>
  <si>
    <t>Venta de bienes del reciclado</t>
  </si>
  <si>
    <t>Venta de servicios</t>
  </si>
  <si>
    <t>Guardería Municipal</t>
  </si>
  <si>
    <t>Servicios Varios</t>
  </si>
  <si>
    <t>Fondo Municipal Cultura</t>
  </si>
  <si>
    <t>Ingresos de Operación</t>
  </si>
  <si>
    <t>Venta bruta de bienes</t>
  </si>
  <si>
    <t>Venta bruta de servicios</t>
  </si>
  <si>
    <t>Otros ingresos de operación</t>
  </si>
  <si>
    <t xml:space="preserve">Renta de la Propiedad </t>
  </si>
  <si>
    <t>Intereses por préstamos</t>
  </si>
  <si>
    <t>Intereses por depósitos</t>
  </si>
  <si>
    <t>Intereses por títulos y valores</t>
  </si>
  <si>
    <t>Arrendamiento de tierras y terrenos</t>
  </si>
  <si>
    <t>Carnet de Conductor</t>
  </si>
  <si>
    <t>Regalías</t>
  </si>
  <si>
    <t>Regalías Hidrocarburíferas</t>
  </si>
  <si>
    <t>Multas Varias</t>
  </si>
  <si>
    <t>Otros Ingresos no Tributarios</t>
  </si>
  <si>
    <t>Pastaje Las Lagunas</t>
  </si>
  <si>
    <t>Ingresos Varios</t>
  </si>
  <si>
    <t>Ingresos varios Las lagunas</t>
  </si>
  <si>
    <t>Recupero de préstamos</t>
  </si>
  <si>
    <t>De Otro origen</t>
  </si>
  <si>
    <t>Transferencias Corrientes (ANR)</t>
  </si>
  <si>
    <t>Del Sector Público Provincial</t>
  </si>
  <si>
    <t>De la administración central provincial</t>
  </si>
  <si>
    <t xml:space="preserve">  Canon Extraordinario Ley 2615 Art. 7°</t>
  </si>
  <si>
    <t xml:space="preserve">  A.N.R. Desequilibrio Financiero</t>
  </si>
  <si>
    <t xml:space="preserve">  Convenio Informantes Turísticos</t>
  </si>
  <si>
    <t xml:space="preserve">  Funcionamiento Comedores Comunitarios</t>
  </si>
  <si>
    <t xml:space="preserve">  Convenio Minist. Acción Social - Profesionales y Operadores Sociales</t>
  </si>
  <si>
    <t xml:space="preserve">  Operativo Leña</t>
  </si>
  <si>
    <t>De empresas y sociedades del estado provinciales</t>
  </si>
  <si>
    <t>De instituciones financieras provinciales</t>
  </si>
  <si>
    <t>Otros de la administración central provincial</t>
  </si>
  <si>
    <t xml:space="preserve">  Políticas Sociales Mrio. De Acción Social</t>
  </si>
  <si>
    <t xml:space="preserve">  Aportes reintegrables</t>
  </si>
  <si>
    <t>II - GASTOS CORRIENTES</t>
  </si>
  <si>
    <t>Personal</t>
  </si>
  <si>
    <t>Personal permanente</t>
  </si>
  <si>
    <t>Retribuciones de los cargos (permanente)</t>
  </si>
  <si>
    <t>Retribuciones que no hacen a los cargos (permanente)</t>
  </si>
  <si>
    <t>Sueldo anual complementario (permanente)</t>
  </si>
  <si>
    <t>Asignaciones familiares (permanente)</t>
  </si>
  <si>
    <t>Contribuciones patronales (permanente)</t>
  </si>
  <si>
    <t>Seguros riesgo del trabajo (permanente)</t>
  </si>
  <si>
    <t>Indemnización por jubilación por invalidez (permanente)</t>
  </si>
  <si>
    <t>Accidentes de trabajo (permanente)</t>
  </si>
  <si>
    <t>Personal permanente 2013</t>
  </si>
  <si>
    <t>Personal transitorio</t>
  </si>
  <si>
    <t>Planta temporaria: MONOTRIBUTISTAS</t>
  </si>
  <si>
    <t>Contratos de locación de servicios con prestación a título personal de pago mensual</t>
  </si>
  <si>
    <t xml:space="preserve">Retribuciones de los cargos  </t>
  </si>
  <si>
    <t xml:space="preserve">Retribuciones que no hacen a los cargos   </t>
  </si>
  <si>
    <t xml:space="preserve">Sueldo anual complementario </t>
  </si>
  <si>
    <t xml:space="preserve">Asignaciones familiares </t>
  </si>
  <si>
    <t xml:space="preserve">Contribuciones patronales </t>
  </si>
  <si>
    <t xml:space="preserve">Seguros riesgo del trabajo </t>
  </si>
  <si>
    <t>Personal transitorio 2013</t>
  </si>
  <si>
    <t>Planta política</t>
  </si>
  <si>
    <t>Personal en cargo político con categoría escalafonaria retenida</t>
  </si>
  <si>
    <t>Personal con cargo político</t>
  </si>
  <si>
    <t>Planta política 2013</t>
  </si>
  <si>
    <t>Bienes de Consumo</t>
  </si>
  <si>
    <t>Productos alimenticios agropecuarios y forestales</t>
  </si>
  <si>
    <t>Alimentos para personas</t>
  </si>
  <si>
    <t>Textiles y vestuario</t>
  </si>
  <si>
    <t>Prendas de vestir</t>
  </si>
  <si>
    <t>Productos de papel, cartón e impresos</t>
  </si>
  <si>
    <t>Productos de cuero y caucho</t>
  </si>
  <si>
    <t>Cubiertas y cámaras de aire</t>
  </si>
  <si>
    <t>Productos químicos, combustibles y lubricantes</t>
  </si>
  <si>
    <t>Insecticida, fumigantes, otros</t>
  </si>
  <si>
    <t>Combustibles y lubricantes</t>
  </si>
  <si>
    <t>Específicos veterinarios</t>
  </si>
  <si>
    <t>Otros</t>
  </si>
  <si>
    <t>Mantenimiento agua potable</t>
  </si>
  <si>
    <t>Productos metálicos</t>
  </si>
  <si>
    <t>Herramientas menores</t>
  </si>
  <si>
    <t>Elementos de seguridad industrial</t>
  </si>
  <si>
    <t>Otros bienes de consumo</t>
  </si>
  <si>
    <t>Utiles de limpieza</t>
  </si>
  <si>
    <t>Utiles de escritorio, oficina y enseñanza</t>
  </si>
  <si>
    <t xml:space="preserve">Otros   </t>
  </si>
  <si>
    <t>Servicios Básicos No Personales</t>
  </si>
  <si>
    <t>Servicios básicos</t>
  </si>
  <si>
    <t>Teléfono, fax y comunicaciones por Internet</t>
  </si>
  <si>
    <t>Energía eléctrica, gas y agua</t>
  </si>
  <si>
    <t>Mantenimiento, reparación y limpieza</t>
  </si>
  <si>
    <t>Mantenimiento y reparación de edificios y locales</t>
  </si>
  <si>
    <t>Mantenimiento y reparación de vehículos</t>
  </si>
  <si>
    <t>Mantenimiento y reparación maquinaria y equipo</t>
  </si>
  <si>
    <t>Mantenimiento de servicios informáticos</t>
  </si>
  <si>
    <t>Mantenimiento red de agua potable</t>
  </si>
  <si>
    <t>Mantenimiento vías de comunicación</t>
  </si>
  <si>
    <t>Mantenimiento Muebles y Utiles</t>
  </si>
  <si>
    <t>Mantenimiento plazas</t>
  </si>
  <si>
    <t>Mantenimiento pileta de natación</t>
  </si>
  <si>
    <t>Servicios técnicos y profesionales</t>
  </si>
  <si>
    <t>Jurídicos</t>
  </si>
  <si>
    <t>Contabilidad y auditoría</t>
  </si>
  <si>
    <t>Capacitación</t>
  </si>
  <si>
    <t>Técnicos</t>
  </si>
  <si>
    <t>Proyectos ejecutivos de obras</t>
  </si>
  <si>
    <t>Servicios comerciales y financieros</t>
  </si>
  <si>
    <t>Transporte</t>
  </si>
  <si>
    <t>Publicidad y propaganda</t>
  </si>
  <si>
    <t>Primas y gastos de seguros</t>
  </si>
  <si>
    <t>Comisiones y gastos bancarios</t>
  </si>
  <si>
    <t>Cartelería</t>
  </si>
  <si>
    <t>Ediciones literarias</t>
  </si>
  <si>
    <t>Fletes y almacenajes</t>
  </si>
  <si>
    <t>Pasajes y viáticos</t>
  </si>
  <si>
    <t>Viáticos</t>
  </si>
  <si>
    <t>Otros servicios</t>
  </si>
  <si>
    <t>Servicio de ceremonial</t>
  </si>
  <si>
    <t>Fiestas populares</t>
  </si>
  <si>
    <t>Activ. Turísticas, culturales, deportivas de promoción</t>
  </si>
  <si>
    <t>Primer Congreso de Historia</t>
  </si>
  <si>
    <t>Alquileres y Derechos</t>
  </si>
  <si>
    <t>Transferencias p/financ. Erog. Ctes.</t>
  </si>
  <si>
    <t>Transferencias al sector privado para financiar gastos corrientes</t>
  </si>
  <si>
    <t>Ayuda Social Directa</t>
  </si>
  <si>
    <t>Transferencia a instituciones cult., cient, deportivas</t>
  </si>
  <si>
    <t>Programas Sociales</t>
  </si>
  <si>
    <t>Colonia de Verano</t>
  </si>
  <si>
    <t>Convenio Policía Multas de Tránsito</t>
  </si>
  <si>
    <t>Convenio Talleres de Cultura</t>
  </si>
  <si>
    <t>Becas</t>
  </si>
  <si>
    <t>Talleres de capacitación</t>
  </si>
  <si>
    <t>Créditos para emprendimientos juveniles</t>
  </si>
  <si>
    <t>Las Lagunas</t>
  </si>
  <si>
    <t>Convenio Deporte</t>
  </si>
  <si>
    <t>Uaf</t>
  </si>
  <si>
    <t>Operativo leña</t>
  </si>
  <si>
    <t>Juventud y Deportes</t>
  </si>
  <si>
    <t>Fondo rotatorio con fines productivos</t>
  </si>
  <si>
    <t>FO MU VI (Fondo Municipal de Viviendas)</t>
  </si>
  <si>
    <t>III -  RESULTADO ECONOMICO:  (I-II)</t>
  </si>
  <si>
    <t xml:space="preserve">      (AHORRO / DESAHORRO CORRIENTE)</t>
  </si>
  <si>
    <t>IV - INGRESOS DE CAPITAL</t>
  </si>
  <si>
    <t>Recursos Propios de Capital</t>
  </si>
  <si>
    <t xml:space="preserve">  Venta de tierras y terrenos</t>
  </si>
  <si>
    <t>Transferencias de Capital</t>
  </si>
  <si>
    <t>Del Sector Público Nacional</t>
  </si>
  <si>
    <t>De la Administración Central Nacional</t>
  </si>
  <si>
    <t>Aporte Construcción 16 viviendas</t>
  </si>
  <si>
    <t>Aporte Red cloacal B° Minas Ñuble I Etapa</t>
  </si>
  <si>
    <t>De la Administración Central Provincial</t>
  </si>
  <si>
    <t xml:space="preserve">  Mantenimiento de Escuelas</t>
  </si>
  <si>
    <t xml:space="preserve">  ANR Obras</t>
  </si>
  <si>
    <t xml:space="preserve">  Obra Delegada Ampliación Hospital 2° Etapa</t>
  </si>
  <si>
    <t xml:space="preserve">  Construcción 16 Viviendas</t>
  </si>
  <si>
    <t xml:space="preserve">  Viviendas un dormitorio</t>
  </si>
  <si>
    <t xml:space="preserve">  Construcción 14 viviendas</t>
  </si>
  <si>
    <t xml:space="preserve">  Pavimento urbano 10 cuadras I Etapa</t>
  </si>
  <si>
    <t xml:space="preserve">  Residencia Adultos Mayores I Etapa</t>
  </si>
  <si>
    <t xml:space="preserve">  Convenio IJAN Obra Cancha de Futbol</t>
  </si>
  <si>
    <t xml:space="preserve">  Obra Delegada 5 Módulos</t>
  </si>
  <si>
    <t xml:space="preserve">  Obra cartelería</t>
  </si>
  <si>
    <t xml:space="preserve">  Cordón cuneta s/Avda. R. Urrutia B° Pampa I Etapa</t>
  </si>
  <si>
    <t>V - GASTOS DE CAPITAL</t>
  </si>
  <si>
    <t>Inversión Real Directa</t>
  </si>
  <si>
    <t>. Bienes de Capital</t>
  </si>
  <si>
    <t>Bienes preexistentes</t>
  </si>
  <si>
    <t>Equipo de oficina y muebles</t>
  </si>
  <si>
    <t>Maquinarias y herramientas</t>
  </si>
  <si>
    <t>Otros Bienes</t>
  </si>
  <si>
    <t>Rodados</t>
  </si>
  <si>
    <t>Aparatos, instrumentos y equipos</t>
  </si>
  <si>
    <t>Equipo de seguridad</t>
  </si>
  <si>
    <t>Libros, revistas y otros elementos coleccionables</t>
  </si>
  <si>
    <t>Obras de arte</t>
  </si>
  <si>
    <t>Semovientes</t>
  </si>
  <si>
    <t>Trabajos Públicos</t>
  </si>
  <si>
    <t>Corralón Municipal I Etapa</t>
  </si>
  <si>
    <t>Plaza Riscos Bayos</t>
  </si>
  <si>
    <t>Ampliación edificio municipal I Etapa</t>
  </si>
  <si>
    <t>Mantenimiento de Escuelas</t>
  </si>
  <si>
    <t>Plaza Las Aromáticas</t>
  </si>
  <si>
    <t>Construcción 16 viviendas</t>
  </si>
  <si>
    <t>Obras Menores</t>
  </si>
  <si>
    <t>Viviendas un dormitorio</t>
  </si>
  <si>
    <t>Mejoramiento tanquillas captación de agua potable</t>
  </si>
  <si>
    <t>Techo Peatonales</t>
  </si>
  <si>
    <t>Red de agua Barrio Riscos Bayos</t>
  </si>
  <si>
    <t xml:space="preserve">Red de agua Barrio Minas Ñuble </t>
  </si>
  <si>
    <t>Cisternas de almacenamiento de agua potable Barrio Los Melegues</t>
  </si>
  <si>
    <t>Remodelación Plaza Epulauquen B° Pampa</t>
  </si>
  <si>
    <t>Ampliación red de gas Barrio Riscos Bayos</t>
  </si>
  <si>
    <t xml:space="preserve">Ampliación red de gas Barrio Minas Ñuble 1° Etapa </t>
  </si>
  <si>
    <t>Construcción Invernaderos</t>
  </si>
  <si>
    <t>Construcción 14 viviendas</t>
  </si>
  <si>
    <t>Puente ingreso sobre arroyo la Bodega</t>
  </si>
  <si>
    <t>Red cloacal B° Minas Ñuble I Etapa</t>
  </si>
  <si>
    <t>Mantenim. Planta Cloacal Barrio Riscos Bayos</t>
  </si>
  <si>
    <t>Mantenim. Y conservac. De Piletas de Oxidación de tratam. Cloacales de la localidad</t>
  </si>
  <si>
    <t>Pileta de Natación Barrio Riscos Bayos</t>
  </si>
  <si>
    <t>Electrificación B° Minas Ñuble  2° Etapa</t>
  </si>
  <si>
    <t>Complejo Deportivo Riscos Bayos</t>
  </si>
  <si>
    <t xml:space="preserve">Cafetería y Obras complementarias Mirador La Puntilla </t>
  </si>
  <si>
    <t>Peatonal San Sebastián-I Etapa</t>
  </si>
  <si>
    <t>Salón de usos múltiples B° Riscos Bayos I Etapa</t>
  </si>
  <si>
    <t>Sala de teatro I etapa</t>
  </si>
  <si>
    <t>Plaza San Martín Mejoramiento</t>
  </si>
  <si>
    <t>Predio Deportivo</t>
  </si>
  <si>
    <t>Batería Sanitarios Lagunas de Epu-Lauquen</t>
  </si>
  <si>
    <t>Adecuación y construcción red de agua zona centro I Etapa</t>
  </si>
  <si>
    <t>Cordón cuneta s/Avda. R. Urrutia B° Pampa I Etapa</t>
  </si>
  <si>
    <t>Gradas cancha de fútbol I Etapa</t>
  </si>
  <si>
    <t>Obra Delegada Ampliación Hospital 2° Etapa</t>
  </si>
  <si>
    <t>Mirador y Muelle Epu-Lauquen I Etapa</t>
  </si>
  <si>
    <t>AMPLIACION GIMNASIO MUNICIPAL</t>
  </si>
  <si>
    <t>Pavimento urbano 10 cuadras I Etapa</t>
  </si>
  <si>
    <t>Construcción y remodelación Parque Carmen Salinas I Etapa</t>
  </si>
  <si>
    <t>Plaza de la Memoria</t>
  </si>
  <si>
    <t>Residencia Adultos Mayores I Etapa</t>
  </si>
  <si>
    <t>Monumentos</t>
  </si>
  <si>
    <t>Viviendas Sociales</t>
  </si>
  <si>
    <t>Museo Municipal Tino Munk</t>
  </si>
  <si>
    <t>Mantenimiento Gimnasio</t>
  </si>
  <si>
    <t>Aportes de capital</t>
  </si>
  <si>
    <t>Préstamos a corto plazo</t>
  </si>
  <si>
    <t>Préstamos a largo plazo</t>
  </si>
  <si>
    <t>Incremento de disponibilidades</t>
  </si>
  <si>
    <t>Incremento de cuentas a cobrar</t>
  </si>
  <si>
    <t>Mantenimiento de caminos rurales</t>
  </si>
  <si>
    <t>Espacios verdes</t>
  </si>
  <si>
    <t>Obra cementerio</t>
  </si>
  <si>
    <t>Peatonal y puentes Riscos Bayos</t>
  </si>
  <si>
    <t>Red de Gas B° Minas Ñuble</t>
  </si>
  <si>
    <t>Anfiteatro Municipal</t>
  </si>
  <si>
    <t>Mejoramiento de plazas</t>
  </si>
  <si>
    <t>Mantenimiento red cloacal</t>
  </si>
  <si>
    <t>Construcción 5 viviendas</t>
  </si>
  <si>
    <t>Camping municipal</t>
  </si>
  <si>
    <t>Obra Red Cloacal Minas Ñuble I Etapa</t>
  </si>
  <si>
    <t>Iluminación Avda. Pedernera</t>
  </si>
  <si>
    <t>Mant. Y reparación red vial urbana</t>
  </si>
  <si>
    <t>Conservación Mirador La Puntilla</t>
  </si>
  <si>
    <t>Iluminación Avda. Raúl Urrutia</t>
  </si>
  <si>
    <t>VI  - INGRESOS TOTALES   (I+IV)</t>
  </si>
  <si>
    <t>VII - GASTOS TOTALES  (II+V)</t>
  </si>
  <si>
    <t>VIII - GASTO PÚBLICO PRIMARIO (VII - Int de la Deuda)</t>
  </si>
  <si>
    <t>IX - RESULTADO FINANCIERO (VI - VII)</t>
  </si>
  <si>
    <t>X - RESULTADO PRIMARIO (VI - VII sin Int. de la Deuda)</t>
  </si>
  <si>
    <t>XI - FINANCIAMIENTO NETO (XII - XIII)</t>
  </si>
  <si>
    <t>XII -</t>
  </si>
  <si>
    <t>FUENTES FINANCIERAS</t>
  </si>
  <si>
    <t>Mejoramiento Habitacional - Letrinas</t>
  </si>
  <si>
    <t>XIII  -</t>
  </si>
  <si>
    <t>APLICACIONES FINANCIERAS</t>
  </si>
  <si>
    <t>ISSN</t>
  </si>
  <si>
    <t>Seguros de vida y ART</t>
  </si>
  <si>
    <t>Oficios</t>
  </si>
  <si>
    <t>UPCN</t>
  </si>
  <si>
    <t>Deudas al personal</t>
  </si>
  <si>
    <t>Descuentos varios</t>
  </si>
  <si>
    <t>UEFE-Préstamo a pagar</t>
  </si>
  <si>
    <t>Otros créditos</t>
  </si>
  <si>
    <t>Cuota ATE</t>
  </si>
  <si>
    <t>Proveedores 2021</t>
  </si>
  <si>
    <t>XIV - RECURSOS TOTALES  (VI+XII)</t>
  </si>
  <si>
    <t>XV  - EROGACIONES TOTALES (VII+XIII)</t>
  </si>
  <si>
    <t>XVI -  RESULTADO GLOBAL (XIV - XV)</t>
  </si>
  <si>
    <t>SERV TECNI</t>
  </si>
  <si>
    <t>TRANSFERENCIA</t>
  </si>
  <si>
    <t>ANR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</si>
</sst>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29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b/>
      <sz val="9"/>
      <name val="Arial"/>
      <family val="2"/>
    </font>
    <font>
      <b/>
      <sz val="14"/>
      <name val="Arial TUR"/>
      <family val="2"/>
      <charset val="162"/>
    </font>
    <font>
      <sz val="16"/>
      <name val="Arial TUR"/>
      <family val="2"/>
      <charset val="162"/>
    </font>
    <font>
      <b/>
      <u/>
      <sz val="20"/>
      <color indexed="9"/>
      <name val="Arial TUR"/>
      <family val="2"/>
      <charset val="162"/>
    </font>
    <font>
      <b/>
      <u/>
      <sz val="9"/>
      <name val="Arial"/>
      <family val="2"/>
    </font>
    <font>
      <b/>
      <sz val="12"/>
      <name val="Arial TUR"/>
      <family val="2"/>
      <charset val="162"/>
    </font>
    <font>
      <sz val="16"/>
      <name val="Britannic Bold"/>
      <family val="2"/>
    </font>
    <font>
      <b/>
      <sz val="10"/>
      <name val="Arial TUR"/>
      <family val="2"/>
      <charset val="162"/>
    </font>
    <font>
      <b/>
      <sz val="10"/>
      <name val="Arial"/>
      <family val="2"/>
    </font>
    <font>
      <b/>
      <sz val="10"/>
      <color indexed="9"/>
      <name val="Arial Narrow"/>
      <family val="2"/>
    </font>
    <font>
      <sz val="9"/>
      <name val="Arial"/>
      <family val="2"/>
    </font>
    <font>
      <b/>
      <i/>
      <sz val="9"/>
      <name val="Arial"/>
      <family val="2"/>
    </font>
    <font>
      <b/>
      <i/>
      <sz val="10"/>
      <name val="Arial"/>
      <family val="2"/>
    </font>
    <font>
      <b/>
      <i/>
      <sz val="10"/>
      <color indexed="9"/>
      <name val="Arial Narrow"/>
      <family val="2"/>
    </font>
    <font>
      <i/>
      <sz val="10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2"/>
      <name val="Arial"/>
      <family val="2"/>
    </font>
    <font>
      <b/>
      <u/>
      <sz val="9"/>
      <color indexed="12"/>
      <name val="Arial"/>
      <family val="2"/>
    </font>
    <font>
      <u/>
      <sz val="9"/>
      <color indexed="10"/>
      <name val="Arial"/>
      <family val="2"/>
    </font>
    <font>
      <b/>
      <u/>
      <sz val="9"/>
      <color indexed="10"/>
      <name val="Arial"/>
      <family val="2"/>
    </font>
    <font>
      <b/>
      <sz val="11"/>
      <name val="Arial Narrow"/>
      <family val="2"/>
    </font>
    <font>
      <sz val="10"/>
      <color indexed="9"/>
      <name val="Arial Narrow"/>
      <family val="2"/>
    </font>
    <font>
      <sz val="10"/>
      <color indexed="9"/>
      <name val="Arial"/>
      <family val="2"/>
    </font>
  </fonts>
  <fills count="7">
    <fill>
      <patternFill patternType="none"/>
    </fill>
    <fill>
      <patternFill patternType="gray125"/>
    </fill>
    <fill>
      <patternFill patternType="mediumGray">
        <fgColor indexed="9"/>
        <bgColor indexed="44"/>
      </patternFill>
    </fill>
    <fill>
      <patternFill patternType="mediumGray">
        <fgColor indexed="9"/>
        <bgColor indexed="26"/>
      </patternFill>
    </fill>
    <fill>
      <patternFill patternType="solid">
        <fgColor indexed="9"/>
        <bgColor indexed="9"/>
      </patternFill>
    </fill>
    <fill>
      <patternFill patternType="mediumGray">
        <fgColor indexed="9"/>
        <bgColor indexed="9"/>
      </patternFill>
    </fill>
    <fill>
      <patternFill patternType="solid">
        <fgColor indexed="44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14">
    <xf numFmtId="0" fontId="0" fillId="0" borderId="0" xfId="0"/>
    <xf numFmtId="1" fontId="2" fillId="2" borderId="0" xfId="1" applyNumberFormat="1" applyFont="1" applyFill="1" applyAlignment="1">
      <alignment horizontal="left"/>
    </xf>
    <xf numFmtId="164" fontId="3" fillId="2" borderId="0" xfId="1" applyNumberFormat="1" applyFont="1" applyFill="1" applyAlignment="1">
      <alignment horizontal="left"/>
    </xf>
    <xf numFmtId="0" fontId="4" fillId="2" borderId="0" xfId="1" applyFont="1" applyFill="1"/>
    <xf numFmtId="4" fontId="5" fillId="0" borderId="0" xfId="0" applyNumberFormat="1" applyFont="1" applyFill="1" applyAlignment="1">
      <alignment horizontal="right"/>
    </xf>
    <xf numFmtId="4" fontId="6" fillId="0" borderId="0" xfId="1" applyNumberFormat="1" applyFont="1" applyFill="1" applyAlignment="1">
      <alignment horizontal="right"/>
    </xf>
    <xf numFmtId="164" fontId="6" fillId="2" borderId="0" xfId="1" applyNumberFormat="1" applyFont="1" applyFill="1" applyAlignment="1">
      <alignment horizontal="right"/>
    </xf>
    <xf numFmtId="4" fontId="0" fillId="0" borderId="0" xfId="0" applyNumberFormat="1"/>
    <xf numFmtId="0" fontId="7" fillId="3" borderId="1" xfId="2" applyFont="1" applyFill="1" applyBorder="1" applyAlignment="1">
      <alignment horizontal="center" wrapText="1"/>
    </xf>
    <xf numFmtId="0" fontId="7" fillId="3" borderId="2" xfId="2" applyFont="1" applyFill="1" applyBorder="1" applyAlignment="1">
      <alignment horizontal="center"/>
    </xf>
    <xf numFmtId="0" fontId="7" fillId="3" borderId="3" xfId="2" applyFont="1" applyFill="1" applyBorder="1" applyAlignment="1">
      <alignment horizontal="center"/>
    </xf>
    <xf numFmtId="164" fontId="6" fillId="0" borderId="1" xfId="1" applyNumberFormat="1" applyFont="1" applyFill="1" applyBorder="1" applyAlignment="1">
      <alignment horizontal="right"/>
    </xf>
    <xf numFmtId="164" fontId="2" fillId="0" borderId="4" xfId="1" applyNumberFormat="1" applyFont="1" applyFill="1" applyBorder="1" applyAlignment="1">
      <alignment horizontal="center"/>
    </xf>
    <xf numFmtId="164" fontId="2" fillId="0" borderId="5" xfId="1" applyNumberFormat="1" applyFont="1" applyFill="1" applyBorder="1" applyAlignment="1">
      <alignment horizontal="center"/>
    </xf>
    <xf numFmtId="0" fontId="8" fillId="0" borderId="0" xfId="0" applyFont="1"/>
    <xf numFmtId="4" fontId="8" fillId="0" borderId="0" xfId="0" applyNumberFormat="1" applyFont="1"/>
    <xf numFmtId="164" fontId="9" fillId="3" borderId="6" xfId="1" quotePrefix="1" applyNumberFormat="1" applyFont="1" applyFill="1" applyBorder="1" applyAlignment="1">
      <alignment horizontal="center"/>
    </xf>
    <xf numFmtId="164" fontId="9" fillId="3" borderId="7" xfId="1" applyNumberFormat="1" applyFont="1" applyFill="1" applyBorder="1" applyAlignment="1">
      <alignment horizontal="center"/>
    </xf>
    <xf numFmtId="164" fontId="9" fillId="3" borderId="8" xfId="1" applyNumberFormat="1" applyFont="1" applyFill="1" applyBorder="1" applyAlignment="1">
      <alignment horizontal="center"/>
    </xf>
    <xf numFmtId="164" fontId="6" fillId="0" borderId="9" xfId="1" applyNumberFormat="1" applyFont="1" applyFill="1" applyBorder="1" applyAlignment="1">
      <alignment horizontal="right"/>
    </xf>
    <xf numFmtId="164" fontId="2" fillId="0" borderId="10" xfId="1" applyNumberFormat="1" applyFont="1" applyFill="1" applyBorder="1" applyAlignment="1">
      <alignment horizontal="center"/>
    </xf>
    <xf numFmtId="164" fontId="2" fillId="0" borderId="11" xfId="1" applyNumberFormat="1" applyFont="1" applyFill="1" applyBorder="1" applyAlignment="1">
      <alignment horizontal="center"/>
    </xf>
    <xf numFmtId="0" fontId="10" fillId="3" borderId="1" xfId="1" applyFont="1" applyFill="1" applyBorder="1" applyAlignment="1">
      <alignment horizontal="center" vertical="center"/>
    </xf>
    <xf numFmtId="0" fontId="10" fillId="3" borderId="2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0" fontId="10" fillId="3" borderId="3" xfId="1" applyFont="1" applyFill="1" applyBorder="1" applyAlignment="1">
      <alignment horizontal="center" vertical="center"/>
    </xf>
    <xf numFmtId="4" fontId="2" fillId="0" borderId="12" xfId="1" applyNumberFormat="1" applyFont="1" applyFill="1" applyBorder="1" applyAlignment="1">
      <alignment horizontal="center" vertical="center" wrapText="1"/>
    </xf>
    <xf numFmtId="164" fontId="2" fillId="0" borderId="9" xfId="1" applyNumberFormat="1" applyFont="1" applyFill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10" fillId="3" borderId="6" xfId="1" applyFont="1" applyFill="1" applyBorder="1" applyAlignment="1">
      <alignment horizontal="center" vertical="center"/>
    </xf>
    <xf numFmtId="0" fontId="10" fillId="3" borderId="7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0" fontId="10" fillId="3" borderId="8" xfId="1" applyFont="1" applyFill="1" applyBorder="1" applyAlignment="1">
      <alignment horizontal="center" vertical="center"/>
    </xf>
    <xf numFmtId="4" fontId="2" fillId="0" borderId="13" xfId="1" applyNumberFormat="1" applyFont="1" applyFill="1" applyBorder="1" applyAlignment="1">
      <alignment horizontal="center" vertical="center" wrapText="1"/>
    </xf>
    <xf numFmtId="164" fontId="2" fillId="0" borderId="6" xfId="1" applyNumberFormat="1" applyFont="1" applyFill="1" applyBorder="1" applyAlignment="1">
      <alignment horizontal="center"/>
    </xf>
    <xf numFmtId="164" fontId="2" fillId="0" borderId="14" xfId="1" applyNumberFormat="1" applyFont="1" applyFill="1" applyBorder="1" applyAlignment="1">
      <alignment horizontal="center"/>
    </xf>
    <xf numFmtId="164" fontId="2" fillId="0" borderId="15" xfId="1" applyNumberFormat="1" applyFont="1" applyFill="1" applyBorder="1" applyAlignment="1">
      <alignment horizontal="center"/>
    </xf>
    <xf numFmtId="0" fontId="10" fillId="4" borderId="16" xfId="1" applyFont="1" applyFill="1" applyBorder="1"/>
    <xf numFmtId="0" fontId="10" fillId="4" borderId="17" xfId="1" applyFont="1" applyFill="1" applyBorder="1"/>
    <xf numFmtId="3" fontId="11" fillId="4" borderId="18" xfId="1" applyNumberFormat="1" applyFont="1" applyFill="1" applyBorder="1" applyAlignment="1">
      <alignment horizontal="right"/>
    </xf>
    <xf numFmtId="4" fontId="0" fillId="0" borderId="19" xfId="0" applyNumberFormat="1" applyFont="1" applyFill="1" applyBorder="1" applyAlignment="1">
      <alignment horizontal="right"/>
    </xf>
    <xf numFmtId="4" fontId="12" fillId="0" borderId="10" xfId="1" applyNumberFormat="1" applyFont="1" applyFill="1" applyBorder="1" applyAlignment="1">
      <alignment horizontal="right"/>
    </xf>
    <xf numFmtId="4" fontId="0" fillId="0" borderId="11" xfId="0" applyNumberFormat="1" applyBorder="1"/>
    <xf numFmtId="4" fontId="0" fillId="0" borderId="0" xfId="0" applyNumberFormat="1" applyBorder="1"/>
    <xf numFmtId="0" fontId="0" fillId="0" borderId="0" xfId="0" applyBorder="1"/>
    <xf numFmtId="0" fontId="10" fillId="4" borderId="20" xfId="1" applyFont="1" applyFill="1" applyBorder="1"/>
    <xf numFmtId="0" fontId="10" fillId="4" borderId="21" xfId="1" applyFont="1" applyFill="1" applyBorder="1"/>
    <xf numFmtId="3" fontId="11" fillId="4" borderId="22" xfId="1" applyNumberFormat="1" applyFont="1" applyFill="1" applyBorder="1" applyAlignment="1">
      <alignment horizontal="right"/>
    </xf>
    <xf numFmtId="4" fontId="12" fillId="0" borderId="23" xfId="1" applyNumberFormat="1" applyFont="1" applyFill="1" applyBorder="1" applyAlignment="1">
      <alignment horizontal="right"/>
    </xf>
    <xf numFmtId="1" fontId="13" fillId="2" borderId="0" xfId="1" applyNumberFormat="1" applyFont="1" applyFill="1" applyAlignment="1">
      <alignment horizontal="left"/>
    </xf>
    <xf numFmtId="0" fontId="14" fillId="4" borderId="24" xfId="1" applyFont="1" applyFill="1" applyBorder="1"/>
    <xf numFmtId="0" fontId="14" fillId="4" borderId="25" xfId="1" applyFont="1" applyFill="1" applyBorder="1"/>
    <xf numFmtId="3" fontId="15" fillId="0" borderId="23" xfId="1" applyNumberFormat="1" applyFont="1" applyFill="1" applyBorder="1" applyAlignment="1">
      <alignment horizontal="right"/>
    </xf>
    <xf numFmtId="4" fontId="16" fillId="0" borderId="0" xfId="0" applyNumberFormat="1" applyFont="1" applyBorder="1"/>
    <xf numFmtId="0" fontId="16" fillId="0" borderId="0" xfId="0" applyFont="1"/>
    <xf numFmtId="4" fontId="16" fillId="0" borderId="0" xfId="0" applyNumberFormat="1" applyFont="1"/>
    <xf numFmtId="0" fontId="10" fillId="4" borderId="24" xfId="1" applyFont="1" applyFill="1" applyBorder="1"/>
    <xf numFmtId="0" fontId="10" fillId="4" borderId="25" xfId="1" applyFont="1" applyFill="1" applyBorder="1"/>
    <xf numFmtId="3" fontId="0" fillId="0" borderId="23" xfId="0" applyNumberFormat="1" applyFont="1" applyFill="1" applyBorder="1" applyAlignment="1">
      <alignment horizontal="right"/>
    </xf>
    <xf numFmtId="0" fontId="17" fillId="0" borderId="25" xfId="0" applyFont="1" applyBorder="1"/>
    <xf numFmtId="3" fontId="11" fillId="4" borderId="23" xfId="0" applyNumberFormat="1" applyFont="1" applyFill="1" applyBorder="1" applyAlignment="1">
      <alignment horizontal="right"/>
    </xf>
    <xf numFmtId="0" fontId="18" fillId="0" borderId="25" xfId="0" applyFont="1" applyBorder="1"/>
    <xf numFmtId="4" fontId="19" fillId="0" borderId="19" xfId="0" applyNumberFormat="1" applyFont="1" applyFill="1" applyBorder="1" applyAlignment="1">
      <alignment horizontal="right"/>
    </xf>
    <xf numFmtId="0" fontId="20" fillId="0" borderId="0" xfId="0" applyFont="1" applyBorder="1"/>
    <xf numFmtId="0" fontId="20" fillId="0" borderId="0" xfId="0" applyFont="1"/>
    <xf numFmtId="4" fontId="20" fillId="0" borderId="0" xfId="0" applyNumberFormat="1" applyFont="1"/>
    <xf numFmtId="0" fontId="21" fillId="4" borderId="25" xfId="1" applyFont="1" applyFill="1" applyBorder="1"/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0" fontId="16" fillId="4" borderId="24" xfId="1" applyFont="1" applyFill="1" applyBorder="1"/>
    <xf numFmtId="3" fontId="15" fillId="4" borderId="23" xfId="1" applyNumberFormat="1" applyFont="1" applyFill="1" applyBorder="1" applyAlignment="1">
      <alignment horizontal="right"/>
    </xf>
    <xf numFmtId="0" fontId="16" fillId="0" borderId="0" xfId="0" applyFont="1" applyBorder="1"/>
    <xf numFmtId="0" fontId="19" fillId="4" borderId="24" xfId="1" applyFont="1" applyFill="1" applyBorder="1"/>
    <xf numFmtId="3" fontId="11" fillId="4" borderId="23" xfId="1" applyNumberFormat="1" applyFont="1" applyFill="1" applyBorder="1" applyAlignment="1">
      <alignment horizontal="right"/>
    </xf>
    <xf numFmtId="4" fontId="0" fillId="0" borderId="19" xfId="0" applyNumberFormat="1" applyFill="1" applyBorder="1" applyAlignment="1">
      <alignment horizontal="right"/>
    </xf>
    <xf numFmtId="1" fontId="2" fillId="0" borderId="0" xfId="1" applyNumberFormat="1" applyFont="1" applyFill="1" applyAlignment="1">
      <alignment horizontal="left"/>
    </xf>
    <xf numFmtId="0" fontId="19" fillId="0" borderId="24" xfId="1" applyFont="1" applyFill="1" applyBorder="1"/>
    <xf numFmtId="0" fontId="10" fillId="0" borderId="25" xfId="1" applyFont="1" applyFill="1" applyBorder="1"/>
    <xf numFmtId="0" fontId="18" fillId="0" borderId="25" xfId="0" applyFont="1" applyFill="1" applyBorder="1"/>
    <xf numFmtId="3" fontId="11" fillId="0" borderId="23" xfId="1" applyNumberFormat="1" applyFont="1" applyFill="1" applyBorder="1" applyAlignment="1">
      <alignment horizontal="right"/>
    </xf>
    <xf numFmtId="0" fontId="0" fillId="0" borderId="0" xfId="0" applyFill="1" applyBorder="1"/>
    <xf numFmtId="0" fontId="0" fillId="0" borderId="0" xfId="0" applyFill="1"/>
    <xf numFmtId="4" fontId="0" fillId="0" borderId="0" xfId="0" applyNumberFormat="1" applyFill="1"/>
    <xf numFmtId="4" fontId="19" fillId="0" borderId="0" xfId="0" applyNumberFormat="1" applyFont="1" applyBorder="1"/>
    <xf numFmtId="43" fontId="19" fillId="0" borderId="0" xfId="0" applyNumberFormat="1" applyFont="1"/>
    <xf numFmtId="0" fontId="19" fillId="0" borderId="0" xfId="0" applyFont="1" applyAlignment="1">
      <alignment horizontal="center"/>
    </xf>
    <xf numFmtId="2" fontId="0" fillId="0" borderId="0" xfId="0" applyNumberFormat="1" applyBorder="1"/>
    <xf numFmtId="2" fontId="0" fillId="0" borderId="0" xfId="0" applyNumberFormat="1"/>
    <xf numFmtId="43" fontId="0" fillId="0" borderId="0" xfId="0" applyNumberFormat="1"/>
    <xf numFmtId="4" fontId="6" fillId="0" borderId="23" xfId="1" applyNumberFormat="1" applyFont="1" applyFill="1" applyBorder="1" applyAlignment="1">
      <alignment horizontal="right"/>
    </xf>
    <xf numFmtId="43" fontId="0" fillId="0" borderId="0" xfId="0" applyNumberFormat="1" applyBorder="1"/>
    <xf numFmtId="0" fontId="22" fillId="0" borderId="0" xfId="0" applyFont="1" applyBorder="1"/>
    <xf numFmtId="0" fontId="22" fillId="0" borderId="0" xfId="0" applyFont="1"/>
    <xf numFmtId="4" fontId="22" fillId="0" borderId="0" xfId="0" applyNumberFormat="1" applyFont="1"/>
    <xf numFmtId="43" fontId="22" fillId="0" borderId="0" xfId="0" applyNumberFormat="1" applyFont="1" applyBorder="1"/>
    <xf numFmtId="43" fontId="22" fillId="0" borderId="0" xfId="0" applyNumberFormat="1" applyFont="1"/>
    <xf numFmtId="4" fontId="23" fillId="0" borderId="23" xfId="1" applyNumberFormat="1" applyFont="1" applyFill="1" applyBorder="1" applyAlignment="1">
      <alignment horizontal="right"/>
    </xf>
    <xf numFmtId="0" fontId="10" fillId="4" borderId="26" xfId="1" applyFont="1" applyFill="1" applyBorder="1"/>
    <xf numFmtId="2" fontId="20" fillId="0" borderId="0" xfId="0" applyNumberFormat="1" applyFont="1" applyBorder="1"/>
    <xf numFmtId="10" fontId="20" fillId="0" borderId="0" xfId="0" applyNumberFormat="1" applyFont="1" applyBorder="1"/>
    <xf numFmtId="4" fontId="12" fillId="0" borderId="19" xfId="1" applyNumberFormat="1" applyFont="1" applyFill="1" applyBorder="1" applyAlignment="1">
      <alignment horizontal="right"/>
    </xf>
    <xf numFmtId="4" fontId="19" fillId="0" borderId="19" xfId="0" applyNumberFormat="1" applyFont="1" applyFill="1" applyBorder="1"/>
    <xf numFmtId="0" fontId="19" fillId="4" borderId="25" xfId="1" applyFont="1" applyFill="1" applyBorder="1"/>
    <xf numFmtId="0" fontId="18" fillId="0" borderId="26" xfId="0" applyFont="1" applyBorder="1"/>
    <xf numFmtId="3" fontId="11" fillId="4" borderId="10" xfId="0" applyNumberFormat="1" applyFont="1" applyFill="1" applyBorder="1" applyAlignment="1">
      <alignment horizontal="right"/>
    </xf>
    <xf numFmtId="0" fontId="10" fillId="4" borderId="9" xfId="1" applyFont="1" applyFill="1" applyBorder="1"/>
    <xf numFmtId="0" fontId="10" fillId="4" borderId="0" xfId="1" applyFont="1" applyFill="1" applyBorder="1"/>
    <xf numFmtId="0" fontId="18" fillId="0" borderId="27" xfId="0" applyFont="1" applyBorder="1"/>
    <xf numFmtId="0" fontId="18" fillId="0" borderId="0" xfId="0" applyFont="1" applyBorder="1"/>
    <xf numFmtId="0" fontId="18" fillId="0" borderId="0" xfId="0" applyFont="1"/>
    <xf numFmtId="3" fontId="11" fillId="4" borderId="28" xfId="0" applyNumberFormat="1" applyFont="1" applyFill="1" applyBorder="1" applyAlignment="1">
      <alignment horizontal="right"/>
    </xf>
    <xf numFmtId="3" fontId="11" fillId="4" borderId="29" xfId="0" applyNumberFormat="1" applyFont="1" applyFill="1" applyBorder="1" applyAlignment="1">
      <alignment horizontal="right"/>
    </xf>
    <xf numFmtId="4" fontId="24" fillId="0" borderId="23" xfId="1" applyNumberFormat="1" applyFont="1" applyFill="1" applyBorder="1" applyAlignment="1">
      <alignment horizontal="right"/>
    </xf>
    <xf numFmtId="3" fontId="10" fillId="3" borderId="1" xfId="1" applyNumberFormat="1" applyFont="1" applyFill="1" applyBorder="1"/>
    <xf numFmtId="3" fontId="10" fillId="3" borderId="2" xfId="1" applyNumberFormat="1" applyFont="1" applyFill="1" applyBorder="1"/>
    <xf numFmtId="3" fontId="10" fillId="3" borderId="3" xfId="1" applyNumberFormat="1" applyFont="1" applyFill="1" applyBorder="1"/>
    <xf numFmtId="3" fontId="11" fillId="3" borderId="30" xfId="1" applyNumberFormat="1" applyFont="1" applyFill="1" applyBorder="1" applyAlignment="1">
      <alignment horizontal="right" vertical="center" wrapText="1"/>
    </xf>
    <xf numFmtId="4" fontId="25" fillId="0" borderId="23" xfId="1" applyNumberFormat="1" applyFont="1" applyFill="1" applyBorder="1" applyAlignment="1">
      <alignment horizontal="right"/>
    </xf>
    <xf numFmtId="3" fontId="10" fillId="3" borderId="6" xfId="1" applyNumberFormat="1" applyFont="1" applyFill="1" applyBorder="1" applyAlignment="1">
      <alignment vertical="center"/>
    </xf>
    <xf numFmtId="3" fontId="10" fillId="3" borderId="7" xfId="1" applyNumberFormat="1" applyFont="1" applyFill="1" applyBorder="1" applyAlignment="1">
      <alignment vertical="center"/>
    </xf>
    <xf numFmtId="3" fontId="10" fillId="3" borderId="8" xfId="1" applyNumberFormat="1" applyFont="1" applyFill="1" applyBorder="1" applyAlignment="1">
      <alignment vertical="center"/>
    </xf>
    <xf numFmtId="3" fontId="11" fillId="3" borderId="31" xfId="1" applyNumberFormat="1" applyFont="1" applyFill="1" applyBorder="1" applyAlignment="1">
      <alignment horizontal="right" vertical="center" wrapText="1"/>
    </xf>
    <xf numFmtId="1" fontId="2" fillId="2" borderId="0" xfId="1" applyNumberFormat="1" applyFont="1" applyFill="1" applyAlignment="1">
      <alignment horizontal="left" vertical="center"/>
    </xf>
    <xf numFmtId="0" fontId="10" fillId="4" borderId="32" xfId="1" applyFont="1" applyFill="1" applyBorder="1"/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vertical="center"/>
    </xf>
    <xf numFmtId="0" fontId="19" fillId="4" borderId="26" xfId="1" applyFont="1" applyFill="1" applyBorder="1"/>
    <xf numFmtId="4" fontId="20" fillId="0" borderId="0" xfId="0" applyNumberFormat="1" applyFont="1" applyBorder="1"/>
    <xf numFmtId="0" fontId="10" fillId="0" borderId="0" xfId="0" applyFont="1" applyBorder="1"/>
    <xf numFmtId="0" fontId="10" fillId="0" borderId="0" xfId="0" applyFont="1"/>
    <xf numFmtId="4" fontId="10" fillId="0" borderId="0" xfId="0" applyNumberFormat="1" applyFont="1"/>
    <xf numFmtId="4" fontId="10" fillId="0" borderId="0" xfId="0" applyNumberFormat="1" applyFont="1" applyBorder="1"/>
    <xf numFmtId="0" fontId="19" fillId="0" borderId="26" xfId="1" applyFont="1" applyFill="1" applyBorder="1"/>
    <xf numFmtId="0" fontId="19" fillId="4" borderId="0" xfId="1" applyFont="1" applyFill="1" applyBorder="1"/>
    <xf numFmtId="3" fontId="10" fillId="2" borderId="33" xfId="1" applyNumberFormat="1" applyFont="1" applyFill="1" applyBorder="1" applyAlignment="1">
      <alignment vertical="center"/>
    </xf>
    <xf numFmtId="3" fontId="10" fillId="2" borderId="34" xfId="1" applyNumberFormat="1" applyFont="1" applyFill="1" applyBorder="1" applyAlignment="1">
      <alignment vertical="center"/>
    </xf>
    <xf numFmtId="3" fontId="11" fillId="2" borderId="35" xfId="1" applyNumberFormat="1" applyFont="1" applyFill="1" applyBorder="1" applyAlignment="1">
      <alignment horizontal="right" vertical="center"/>
    </xf>
    <xf numFmtId="3" fontId="10" fillId="2" borderId="36" xfId="1" applyNumberFormat="1" applyFont="1" applyFill="1" applyBorder="1" applyAlignment="1">
      <alignment vertical="center"/>
    </xf>
    <xf numFmtId="3" fontId="10" fillId="2" borderId="37" xfId="1" applyNumberFormat="1" applyFont="1" applyFill="1" applyBorder="1" applyAlignment="1">
      <alignment vertical="center"/>
    </xf>
    <xf numFmtId="3" fontId="26" fillId="3" borderId="38" xfId="1" applyNumberFormat="1" applyFont="1" applyFill="1" applyBorder="1" applyAlignment="1">
      <alignment vertical="center"/>
    </xf>
    <xf numFmtId="3" fontId="26" fillId="3" borderId="39" xfId="1" applyNumberFormat="1" applyFont="1" applyFill="1" applyBorder="1" applyAlignment="1">
      <alignment vertical="center"/>
    </xf>
    <xf numFmtId="3" fontId="26" fillId="3" borderId="40" xfId="1" applyNumberFormat="1" applyFont="1" applyFill="1" applyBorder="1" applyAlignment="1">
      <alignment vertical="center"/>
    </xf>
    <xf numFmtId="3" fontId="11" fillId="3" borderId="13" xfId="1" applyNumberFormat="1" applyFont="1" applyFill="1" applyBorder="1" applyAlignment="1">
      <alignment horizontal="right" vertical="center"/>
    </xf>
    <xf numFmtId="4" fontId="6" fillId="0" borderId="23" xfId="1" applyNumberFormat="1" applyFont="1" applyFill="1" applyBorder="1" applyAlignment="1">
      <alignment horizontal="right" vertical="center"/>
    </xf>
    <xf numFmtId="1" fontId="10" fillId="2" borderId="0" xfId="0" applyNumberFormat="1" applyFont="1" applyFill="1" applyAlignment="1">
      <alignment horizontal="left"/>
    </xf>
    <xf numFmtId="0" fontId="0" fillId="2" borderId="0" xfId="0" applyFill="1"/>
    <xf numFmtId="4" fontId="0" fillId="0" borderId="23" xfId="0" applyNumberFormat="1" applyFill="1" applyBorder="1"/>
    <xf numFmtId="1" fontId="2" fillId="2" borderId="0" xfId="1" applyNumberFormat="1" applyFont="1" applyFill="1" applyBorder="1" applyAlignment="1">
      <alignment horizontal="left" vertical="center"/>
    </xf>
    <xf numFmtId="3" fontId="26" fillId="2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4" fontId="0" fillId="0" borderId="0" xfId="0" applyNumberFormat="1" applyFill="1" applyBorder="1" applyAlignment="1">
      <alignment vertical="center"/>
    </xf>
    <xf numFmtId="0" fontId="10" fillId="3" borderId="38" xfId="1" applyFont="1" applyFill="1" applyBorder="1" applyAlignment="1">
      <alignment vertical="center"/>
    </xf>
    <xf numFmtId="0" fontId="10" fillId="3" borderId="39" xfId="1" applyFont="1" applyFill="1" applyBorder="1" applyAlignment="1">
      <alignment vertical="center"/>
    </xf>
    <xf numFmtId="0" fontId="10" fillId="3" borderId="41" xfId="1" applyFont="1" applyFill="1" applyBorder="1" applyAlignment="1">
      <alignment vertical="center"/>
    </xf>
    <xf numFmtId="0" fontId="10" fillId="4" borderId="16" xfId="1" applyFont="1" applyFill="1" applyBorder="1" applyAlignment="1">
      <alignment vertical="center"/>
    </xf>
    <xf numFmtId="0" fontId="10" fillId="4" borderId="17" xfId="1" applyFont="1" applyFill="1" applyBorder="1" applyAlignment="1">
      <alignment vertical="center"/>
    </xf>
    <xf numFmtId="0" fontId="10" fillId="4" borderId="32" xfId="1" applyFont="1" applyFill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10" fillId="4" borderId="24" xfId="1" applyFont="1" applyFill="1" applyBorder="1" applyAlignment="1">
      <alignment vertical="center"/>
    </xf>
    <xf numFmtId="0" fontId="10" fillId="4" borderId="25" xfId="1" applyFont="1" applyFill="1" applyBorder="1" applyAlignment="1">
      <alignment vertical="center"/>
    </xf>
    <xf numFmtId="0" fontId="10" fillId="4" borderId="26" xfId="1" applyFont="1" applyFill="1" applyBorder="1" applyAlignment="1">
      <alignment vertical="center"/>
    </xf>
    <xf numFmtId="1" fontId="2" fillId="2" borderId="0" xfId="1" applyNumberFormat="1" applyFont="1" applyFill="1" applyBorder="1" applyAlignment="1">
      <alignment horizontal="left"/>
    </xf>
    <xf numFmtId="0" fontId="10" fillId="4" borderId="9" xfId="1" applyFont="1" applyFill="1" applyBorder="1" applyAlignment="1">
      <alignment vertical="center"/>
    </xf>
    <xf numFmtId="0" fontId="10" fillId="4" borderId="0" xfId="1" applyFont="1" applyFill="1" applyBorder="1" applyAlignment="1">
      <alignment vertical="center"/>
    </xf>
    <xf numFmtId="0" fontId="18" fillId="0" borderId="7" xfId="0" applyFont="1" applyBorder="1"/>
    <xf numFmtId="0" fontId="10" fillId="4" borderId="7" xfId="1" applyFont="1" applyFill="1" applyBorder="1" applyAlignment="1">
      <alignment vertical="center"/>
    </xf>
    <xf numFmtId="4" fontId="0" fillId="0" borderId="42" xfId="0" applyNumberFormat="1" applyFont="1" applyFill="1" applyBorder="1" applyAlignment="1">
      <alignment horizontal="right"/>
    </xf>
    <xf numFmtId="4" fontId="12" fillId="0" borderId="43" xfId="1" applyNumberFormat="1" applyFont="1" applyFill="1" applyBorder="1" applyAlignment="1">
      <alignment horizontal="right"/>
    </xf>
    <xf numFmtId="0" fontId="10" fillId="2" borderId="0" xfId="1" applyFont="1" applyFill="1" applyBorder="1" applyAlignment="1">
      <alignment vertical="center"/>
    </xf>
    <xf numFmtId="4" fontId="0" fillId="0" borderId="44" xfId="0" applyNumberFormat="1" applyFont="1" applyFill="1" applyBorder="1" applyAlignment="1">
      <alignment horizontal="right"/>
    </xf>
    <xf numFmtId="4" fontId="6" fillId="0" borderId="45" xfId="1" applyNumberFormat="1" applyFont="1" applyFill="1" applyBorder="1" applyAlignment="1">
      <alignment horizontal="right"/>
    </xf>
    <xf numFmtId="4" fontId="12" fillId="0" borderId="45" xfId="1" applyNumberFormat="1" applyFont="1" applyFill="1" applyBorder="1" applyAlignment="1">
      <alignment horizontal="right"/>
    </xf>
    <xf numFmtId="4" fontId="0" fillId="0" borderId="46" xfId="0" applyNumberFormat="1" applyBorder="1"/>
    <xf numFmtId="3" fontId="10" fillId="5" borderId="47" xfId="1" applyNumberFormat="1" applyFont="1" applyFill="1" applyBorder="1" applyAlignment="1">
      <alignment vertical="center"/>
    </xf>
    <xf numFmtId="3" fontId="10" fillId="5" borderId="48" xfId="1" applyNumberFormat="1" applyFont="1" applyFill="1" applyBorder="1" applyAlignment="1">
      <alignment vertical="center"/>
    </xf>
    <xf numFmtId="4" fontId="0" fillId="0" borderId="49" xfId="0" applyNumberFormat="1" applyFont="1" applyFill="1" applyBorder="1" applyAlignment="1">
      <alignment horizontal="right"/>
    </xf>
    <xf numFmtId="1" fontId="2" fillId="2" borderId="7" xfId="1" applyNumberFormat="1" applyFont="1" applyFill="1" applyBorder="1" applyAlignment="1">
      <alignment horizontal="left" vertical="center"/>
    </xf>
    <xf numFmtId="3" fontId="10" fillId="5" borderId="50" xfId="1" applyNumberFormat="1" applyFont="1" applyFill="1" applyBorder="1" applyAlignment="1">
      <alignment vertical="center"/>
    </xf>
    <xf numFmtId="3" fontId="10" fillId="5" borderId="51" xfId="1" applyNumberFormat="1" applyFont="1" applyFill="1" applyBorder="1" applyAlignment="1">
      <alignment vertical="center"/>
    </xf>
    <xf numFmtId="4" fontId="0" fillId="0" borderId="52" xfId="0" applyNumberFormat="1" applyFont="1" applyFill="1" applyBorder="1" applyAlignment="1">
      <alignment horizontal="right"/>
    </xf>
    <xf numFmtId="4" fontId="12" fillId="0" borderId="14" xfId="1" applyNumberFormat="1" applyFont="1" applyFill="1" applyBorder="1" applyAlignment="1">
      <alignment horizontal="right"/>
    </xf>
    <xf numFmtId="4" fontId="0" fillId="0" borderId="15" xfId="0" applyNumberFormat="1" applyBorder="1"/>
    <xf numFmtId="3" fontId="10" fillId="3" borderId="6" xfId="1" applyNumberFormat="1" applyFont="1" applyFill="1" applyBorder="1" applyAlignment="1">
      <alignment horizontal="left" vertical="center"/>
    </xf>
    <xf numFmtId="3" fontId="10" fillId="3" borderId="7" xfId="1" applyNumberFormat="1" applyFont="1" applyFill="1" applyBorder="1" applyAlignment="1">
      <alignment horizontal="center" vertical="center"/>
    </xf>
    <xf numFmtId="3" fontId="10" fillId="3" borderId="8" xfId="1" applyNumberFormat="1" applyFont="1" applyFill="1" applyBorder="1" applyAlignment="1">
      <alignment horizontal="center" vertical="center"/>
    </xf>
    <xf numFmtId="4" fontId="0" fillId="0" borderId="22" xfId="0" applyNumberFormat="1" applyFont="1" applyFill="1" applyBorder="1" applyAlignment="1">
      <alignment horizontal="right"/>
    </xf>
    <xf numFmtId="4" fontId="6" fillId="0" borderId="0" xfId="1" applyNumberFormat="1" applyFont="1" applyFill="1" applyAlignment="1">
      <alignment horizontal="right" vertical="center"/>
    </xf>
    <xf numFmtId="164" fontId="6" fillId="2" borderId="0" xfId="1" applyNumberFormat="1" applyFont="1" applyFill="1" applyAlignment="1">
      <alignment horizontal="right" vertical="center"/>
    </xf>
    <xf numFmtId="1" fontId="10" fillId="0" borderId="0" xfId="0" applyNumberFormat="1" applyFont="1" applyFill="1" applyAlignment="1">
      <alignment horizontal="left"/>
    </xf>
    <xf numFmtId="4" fontId="27" fillId="0" borderId="0" xfId="0" applyNumberFormat="1" applyFont="1" applyFill="1" applyAlignment="1">
      <alignment horizontal="right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9" fillId="0" borderId="0" xfId="0" applyFont="1" applyFill="1"/>
    <xf numFmtId="4" fontId="28" fillId="0" borderId="0" xfId="0" applyNumberFormat="1" applyFont="1" applyFill="1" applyAlignment="1">
      <alignment horizontal="right"/>
    </xf>
    <xf numFmtId="164" fontId="0" fillId="0" borderId="0" xfId="0" applyNumberFormat="1" applyFill="1"/>
    <xf numFmtId="0" fontId="14" fillId="0" borderId="0" xfId="0" applyFont="1" applyFill="1" applyAlignment="1">
      <alignment horizontal="left" vertical="center" wrapText="1"/>
    </xf>
    <xf numFmtId="4" fontId="19" fillId="0" borderId="0" xfId="0" applyNumberFormat="1" applyFont="1" applyFill="1"/>
    <xf numFmtId="0" fontId="0" fillId="0" borderId="0" xfId="0" applyFill="1" applyAlignment="1">
      <alignment horizontal="left" vertical="center" wrapText="1"/>
    </xf>
    <xf numFmtId="0" fontId="19" fillId="0" borderId="0" xfId="0" applyFont="1" applyFill="1" applyBorder="1"/>
    <xf numFmtId="0" fontId="0" fillId="0" borderId="0" xfId="0" applyFill="1" applyAlignment="1">
      <alignment horizontal="left" vertical="center" wrapText="1"/>
    </xf>
    <xf numFmtId="2" fontId="0" fillId="0" borderId="0" xfId="0" applyNumberFormat="1" applyFill="1" applyAlignment="1">
      <alignment horizontal="left" vertical="center" wrapText="1"/>
    </xf>
    <xf numFmtId="4" fontId="0" fillId="0" borderId="0" xfId="0" applyNumberFormat="1" applyFill="1" applyAlignment="1">
      <alignment horizontal="left" vertical="center" wrapText="1"/>
    </xf>
    <xf numFmtId="0" fontId="10" fillId="0" borderId="0" xfId="0" applyFon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" fontId="28" fillId="0" borderId="0" xfId="0" applyNumberFormat="1" applyFont="1" applyFill="1" applyAlignment="1">
      <alignment horizontal="right" vertical="center" wrapText="1"/>
    </xf>
    <xf numFmtId="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vertical="center" wrapText="1"/>
    </xf>
    <xf numFmtId="0" fontId="19" fillId="0" borderId="0" xfId="0" applyFont="1" applyFill="1" applyAlignment="1">
      <alignment vertical="center" wrapText="1"/>
    </xf>
    <xf numFmtId="164" fontId="0" fillId="6" borderId="0" xfId="0" applyNumberFormat="1" applyFill="1"/>
  </cellXfs>
  <cellStyles count="3">
    <cellStyle name="Normal" xfId="0" builtinId="0"/>
    <cellStyle name="Normal_En pesos" xfId="1"/>
    <cellStyle name="Normal_Hoja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31"/>
  <sheetViews>
    <sheetView tabSelected="1" workbookViewId="0">
      <selection activeCell="E18" sqref="E18"/>
    </sheetView>
  </sheetViews>
  <sheetFormatPr baseColWidth="10" defaultColWidth="11.42578125" defaultRowHeight="15" x14ac:dyDescent="0.25"/>
  <cols>
    <col min="1" max="1" width="11.5703125" style="147" customWidth="1"/>
    <col min="2" max="2" width="1.7109375" customWidth="1"/>
    <col min="3" max="3" width="4" customWidth="1"/>
    <col min="4" max="4" width="1.7109375" customWidth="1"/>
    <col min="5" max="5" width="72" bestFit="1" customWidth="1"/>
    <col min="6" max="6" width="17" hidden="1" customWidth="1"/>
    <col min="7" max="7" width="19.28515625" style="198" customWidth="1"/>
    <col min="8" max="8" width="21.140625" style="84" customWidth="1"/>
    <col min="9" max="9" width="23.85546875" style="213" customWidth="1"/>
    <col min="10" max="10" width="20" customWidth="1"/>
    <col min="11" max="12" width="13.7109375" bestFit="1" customWidth="1"/>
    <col min="13" max="14" width="13.85546875" bestFit="1" customWidth="1"/>
    <col min="15" max="15" width="14" customWidth="1"/>
    <col min="16" max="16" width="13.7109375" customWidth="1"/>
    <col min="17" max="17" width="14.140625" style="7" customWidth="1"/>
    <col min="18" max="18" width="13.85546875" customWidth="1"/>
    <col min="19" max="19" width="13.7109375" customWidth="1"/>
    <col min="20" max="20" width="14.140625" customWidth="1"/>
    <col min="21" max="21" width="13.7109375" customWidth="1"/>
    <col min="22" max="22" width="15.5703125" customWidth="1"/>
    <col min="23" max="23" width="13.85546875" customWidth="1"/>
    <col min="24" max="24" width="13.140625" customWidth="1"/>
  </cols>
  <sheetData>
    <row r="1" spans="1:17" ht="27" thickBot="1" x14ac:dyDescent="0.45">
      <c r="A1" s="1"/>
      <c r="B1" s="2" t="s">
        <v>0</v>
      </c>
      <c r="C1" s="3"/>
      <c r="D1" s="3"/>
      <c r="E1" s="3"/>
      <c r="F1" s="3"/>
      <c r="G1" s="4"/>
      <c r="H1" s="5"/>
      <c r="I1" s="6"/>
    </row>
    <row r="2" spans="1:17" s="14" customFormat="1" ht="19.5" x14ac:dyDescent="0.25">
      <c r="A2" s="1"/>
      <c r="B2" s="8" t="s">
        <v>1</v>
      </c>
      <c r="C2" s="9"/>
      <c r="D2" s="9"/>
      <c r="E2" s="9"/>
      <c r="F2" s="9"/>
      <c r="G2" s="10"/>
      <c r="H2" s="11"/>
      <c r="I2" s="12" t="s">
        <v>2</v>
      </c>
      <c r="J2" s="13" t="s">
        <v>2</v>
      </c>
      <c r="Q2" s="15"/>
    </row>
    <row r="3" spans="1:17" s="14" customFormat="1" ht="20.25" thickBot="1" x14ac:dyDescent="0.3">
      <c r="A3" s="1"/>
      <c r="B3" s="16" t="s">
        <v>3</v>
      </c>
      <c r="C3" s="17"/>
      <c r="D3" s="17"/>
      <c r="E3" s="17"/>
      <c r="F3" s="17"/>
      <c r="G3" s="18"/>
      <c r="H3" s="19"/>
      <c r="I3" s="20" t="s">
        <v>4</v>
      </c>
      <c r="J3" s="21" t="s">
        <v>4</v>
      </c>
      <c r="Q3" s="15"/>
    </row>
    <row r="4" spans="1:17" x14ac:dyDescent="0.25">
      <c r="A4" s="1"/>
      <c r="B4" s="22" t="s">
        <v>5</v>
      </c>
      <c r="C4" s="23"/>
      <c r="D4" s="23"/>
      <c r="E4" s="24"/>
      <c r="F4" s="25" t="s">
        <v>6</v>
      </c>
      <c r="G4" s="26" t="s">
        <v>7</v>
      </c>
      <c r="H4" s="27" t="s">
        <v>8</v>
      </c>
      <c r="I4" s="20" t="s">
        <v>9</v>
      </c>
      <c r="J4" s="21" t="s">
        <v>10</v>
      </c>
      <c r="K4" s="28"/>
      <c r="L4" s="29"/>
    </row>
    <row r="5" spans="1:17" ht="15.75" thickBot="1" x14ac:dyDescent="0.3">
      <c r="A5" s="1"/>
      <c r="B5" s="30"/>
      <c r="C5" s="31"/>
      <c r="D5" s="31"/>
      <c r="E5" s="32"/>
      <c r="F5" s="33" t="s">
        <v>11</v>
      </c>
      <c r="G5" s="34" t="s">
        <v>12</v>
      </c>
      <c r="H5" s="35" t="s">
        <v>13</v>
      </c>
      <c r="I5" s="36"/>
      <c r="J5" s="37"/>
      <c r="K5" s="28"/>
      <c r="L5" s="29"/>
    </row>
    <row r="6" spans="1:17" x14ac:dyDescent="0.25">
      <c r="A6" s="1"/>
      <c r="B6" s="38" t="s">
        <v>14</v>
      </c>
      <c r="C6" s="39"/>
      <c r="D6" s="39"/>
      <c r="E6" s="39"/>
      <c r="F6" s="40"/>
      <c r="G6" s="41">
        <f>+G12+G7+G9+G78+G80</f>
        <v>308118282</v>
      </c>
      <c r="H6" s="41">
        <f>+H12+H7+H9+H78+H80</f>
        <v>509601019.27999997</v>
      </c>
      <c r="I6" s="42">
        <f t="shared" ref="I6:I69" si="0">IF(G6&gt;H6,0,G6-H6)</f>
        <v>-201482737.27999997</v>
      </c>
      <c r="J6" s="43">
        <f t="shared" ref="J6:J69" si="1">IF(G6&lt;H6,0,G6-H6)</f>
        <v>0</v>
      </c>
      <c r="K6" s="44"/>
      <c r="L6" s="45"/>
    </row>
    <row r="7" spans="1:17" x14ac:dyDescent="0.25">
      <c r="A7" s="1">
        <v>111</v>
      </c>
      <c r="B7" s="46"/>
      <c r="C7" s="47" t="s">
        <v>15</v>
      </c>
      <c r="D7" s="47"/>
      <c r="E7" s="47"/>
      <c r="F7" s="48"/>
      <c r="G7" s="41">
        <f>+G8</f>
        <v>46800000</v>
      </c>
      <c r="H7" s="41">
        <f>+H8</f>
        <v>81879465.379999995</v>
      </c>
      <c r="I7" s="42">
        <f t="shared" si="0"/>
        <v>-35079465.379999995</v>
      </c>
      <c r="J7" s="43">
        <f t="shared" si="1"/>
        <v>0</v>
      </c>
      <c r="K7" s="45"/>
      <c r="L7" s="45"/>
    </row>
    <row r="8" spans="1:17" x14ac:dyDescent="0.25">
      <c r="A8" s="1">
        <v>11101</v>
      </c>
      <c r="B8" s="46"/>
      <c r="C8" s="47"/>
      <c r="D8" s="47"/>
      <c r="E8" s="47" t="s">
        <v>16</v>
      </c>
      <c r="F8" s="48"/>
      <c r="G8" s="41">
        <f>18000000*2*1.3</f>
        <v>46800000</v>
      </c>
      <c r="H8" s="49">
        <v>81879465.379999995</v>
      </c>
      <c r="I8" s="42">
        <f t="shared" si="0"/>
        <v>-35079465.379999995</v>
      </c>
      <c r="J8" s="43">
        <f t="shared" si="1"/>
        <v>0</v>
      </c>
      <c r="K8" s="44"/>
      <c r="L8" s="45"/>
      <c r="M8" s="7"/>
    </row>
    <row r="9" spans="1:17" x14ac:dyDescent="0.25">
      <c r="A9" s="1">
        <v>112</v>
      </c>
      <c r="B9" s="46"/>
      <c r="C9" s="47" t="s">
        <v>17</v>
      </c>
      <c r="D9" s="47"/>
      <c r="E9" s="47"/>
      <c r="F9" s="48"/>
      <c r="G9" s="41">
        <f>+G10+G11</f>
        <v>97000000</v>
      </c>
      <c r="H9" s="41">
        <f>+H10+H11</f>
        <v>147985288.81999999</v>
      </c>
      <c r="I9" s="42">
        <f t="shared" si="0"/>
        <v>-50985288.819999993</v>
      </c>
      <c r="J9" s="43">
        <f t="shared" si="1"/>
        <v>0</v>
      </c>
      <c r="K9" s="45"/>
      <c r="L9" s="45"/>
    </row>
    <row r="10" spans="1:17" x14ac:dyDescent="0.25">
      <c r="A10" s="1">
        <v>11201</v>
      </c>
      <c r="B10" s="46"/>
      <c r="C10" s="47"/>
      <c r="D10" s="47"/>
      <c r="E10" s="47" t="s">
        <v>18</v>
      </c>
      <c r="F10" s="48"/>
      <c r="G10" s="41">
        <v>92500000</v>
      </c>
      <c r="H10" s="49">
        <v>143921564.13</v>
      </c>
      <c r="I10" s="42">
        <f t="shared" si="0"/>
        <v>-51421564.129999995</v>
      </c>
      <c r="J10" s="43">
        <f t="shared" si="1"/>
        <v>0</v>
      </c>
      <c r="K10" s="45"/>
      <c r="L10" s="45"/>
      <c r="M10" s="7"/>
    </row>
    <row r="11" spans="1:17" x14ac:dyDescent="0.25">
      <c r="A11" s="1">
        <v>11202</v>
      </c>
      <c r="B11" s="46"/>
      <c r="C11" s="47"/>
      <c r="D11" s="47"/>
      <c r="E11" s="47" t="s">
        <v>19</v>
      </c>
      <c r="F11" s="48"/>
      <c r="G11" s="41">
        <v>4500000</v>
      </c>
      <c r="H11" s="49">
        <v>4063724.69</v>
      </c>
      <c r="I11" s="42">
        <f t="shared" si="0"/>
        <v>0</v>
      </c>
      <c r="J11" s="43">
        <f t="shared" si="1"/>
        <v>436275.31000000006</v>
      </c>
      <c r="K11" s="45"/>
      <c r="L11" s="45"/>
      <c r="M11" s="7"/>
    </row>
    <row r="12" spans="1:17" s="55" customFormat="1" x14ac:dyDescent="0.25">
      <c r="A12" s="50">
        <v>113</v>
      </c>
      <c r="B12" s="51"/>
      <c r="C12" s="52" t="s">
        <v>20</v>
      </c>
      <c r="D12" s="52"/>
      <c r="E12" s="52"/>
      <c r="F12" s="53">
        <v>1</v>
      </c>
      <c r="G12" s="41">
        <f>+G13+G87+G82</f>
        <v>57440282</v>
      </c>
      <c r="H12" s="41">
        <f>+H13+H87+H82</f>
        <v>93376202.529999986</v>
      </c>
      <c r="I12" s="42">
        <f t="shared" si="0"/>
        <v>-35935920.529999986</v>
      </c>
      <c r="J12" s="43">
        <f t="shared" si="1"/>
        <v>0</v>
      </c>
      <c r="K12" s="54"/>
      <c r="L12" s="54"/>
      <c r="Q12" s="56"/>
    </row>
    <row r="13" spans="1:17" x14ac:dyDescent="0.25">
      <c r="A13" s="1"/>
      <c r="B13" s="57"/>
      <c r="C13" s="58"/>
      <c r="D13" s="58" t="s">
        <v>21</v>
      </c>
      <c r="E13" s="58"/>
      <c r="F13" s="59"/>
      <c r="G13" s="41">
        <f>+G14+G16+G24</f>
        <v>11945000</v>
      </c>
      <c r="H13" s="41">
        <f>+H14+H16+H24</f>
        <v>10690951.939999999</v>
      </c>
      <c r="I13" s="42">
        <f t="shared" si="0"/>
        <v>0</v>
      </c>
      <c r="J13" s="43">
        <f t="shared" si="1"/>
        <v>1254048.0600000005</v>
      </c>
      <c r="K13" s="45"/>
      <c r="L13" s="45"/>
    </row>
    <row r="14" spans="1:17" x14ac:dyDescent="0.25">
      <c r="A14" s="1">
        <v>1131</v>
      </c>
      <c r="B14" s="57"/>
      <c r="C14" s="58"/>
      <c r="D14" s="58"/>
      <c r="E14" s="60" t="s">
        <v>22</v>
      </c>
      <c r="F14" s="61"/>
      <c r="G14" s="41">
        <f>+G15</f>
        <v>4550000</v>
      </c>
      <c r="H14" s="41">
        <f>+H15</f>
        <v>4694107.28</v>
      </c>
      <c r="I14" s="42">
        <f t="shared" si="0"/>
        <v>-144107.28000000026</v>
      </c>
      <c r="J14" s="43">
        <f t="shared" si="1"/>
        <v>0</v>
      </c>
      <c r="K14" s="45"/>
      <c r="L14" s="45"/>
    </row>
    <row r="15" spans="1:17" x14ac:dyDescent="0.25">
      <c r="A15" s="1">
        <v>113101</v>
      </c>
      <c r="B15" s="57"/>
      <c r="C15" s="58"/>
      <c r="D15" s="58"/>
      <c r="E15" s="62" t="s">
        <v>23</v>
      </c>
      <c r="F15" s="61"/>
      <c r="G15" s="41">
        <f>1750000*2*1.3</f>
        <v>4550000</v>
      </c>
      <c r="H15" s="49">
        <v>4694107.28</v>
      </c>
      <c r="I15" s="42">
        <f t="shared" si="0"/>
        <v>-144107.28000000026</v>
      </c>
      <c r="J15" s="43">
        <f t="shared" si="1"/>
        <v>0</v>
      </c>
      <c r="K15" s="45"/>
      <c r="L15" s="45"/>
    </row>
    <row r="16" spans="1:17" x14ac:dyDescent="0.25">
      <c r="A16" s="1">
        <v>1132</v>
      </c>
      <c r="B16" s="57"/>
      <c r="C16" s="58"/>
      <c r="D16" s="58"/>
      <c r="E16" s="60" t="s">
        <v>24</v>
      </c>
      <c r="F16" s="61"/>
      <c r="G16" s="41">
        <f>+G17+G18+G19+G20+G21+G22+G23</f>
        <v>6420000</v>
      </c>
      <c r="H16" s="41">
        <f>+H17+H18+H19+H20+H21+H22+H23</f>
        <v>5630487.1699999999</v>
      </c>
      <c r="I16" s="42">
        <f t="shared" si="0"/>
        <v>0</v>
      </c>
      <c r="J16" s="43">
        <f t="shared" si="1"/>
        <v>789512.83000000007</v>
      </c>
      <c r="K16" s="45"/>
      <c r="L16" s="44"/>
      <c r="Q16"/>
    </row>
    <row r="17" spans="1:17" x14ac:dyDescent="0.25">
      <c r="A17" s="1">
        <v>113202</v>
      </c>
      <c r="B17" s="57"/>
      <c r="C17" s="58"/>
      <c r="D17" s="58"/>
      <c r="E17" s="62" t="s">
        <v>25</v>
      </c>
      <c r="F17" s="61"/>
      <c r="G17" s="41">
        <v>50000</v>
      </c>
      <c r="H17" s="49">
        <v>15179.09</v>
      </c>
      <c r="I17" s="42">
        <f t="shared" si="0"/>
        <v>0</v>
      </c>
      <c r="J17" s="43">
        <f t="shared" si="1"/>
        <v>34820.910000000003</v>
      </c>
      <c r="K17" s="45"/>
      <c r="L17" s="45"/>
      <c r="Q17"/>
    </row>
    <row r="18" spans="1:17" x14ac:dyDescent="0.25">
      <c r="A18" s="1">
        <v>113203</v>
      </c>
      <c r="B18" s="57"/>
      <c r="C18" s="58"/>
      <c r="D18" s="58"/>
      <c r="E18" s="62" t="s">
        <v>26</v>
      </c>
      <c r="F18" s="61"/>
      <c r="G18" s="41">
        <f>1400000*1.3</f>
        <v>1820000</v>
      </c>
      <c r="H18" s="49">
        <v>1484875.36</v>
      </c>
      <c r="I18" s="42">
        <f t="shared" si="0"/>
        <v>0</v>
      </c>
      <c r="J18" s="43">
        <f t="shared" si="1"/>
        <v>335124.6399999999</v>
      </c>
      <c r="K18" s="45"/>
      <c r="L18" s="45"/>
      <c r="Q18"/>
    </row>
    <row r="19" spans="1:17" x14ac:dyDescent="0.25">
      <c r="A19" s="1">
        <v>113204</v>
      </c>
      <c r="B19" s="57"/>
      <c r="C19" s="58"/>
      <c r="D19" s="58"/>
      <c r="E19" s="62" t="s">
        <v>27</v>
      </c>
      <c r="F19" s="61"/>
      <c r="G19" s="41">
        <f>750000*2*1.3</f>
        <v>1950000</v>
      </c>
      <c r="H19" s="49">
        <v>1545945.76</v>
      </c>
      <c r="I19" s="42">
        <f t="shared" si="0"/>
        <v>0</v>
      </c>
      <c r="J19" s="43">
        <f t="shared" si="1"/>
        <v>404054.24</v>
      </c>
      <c r="K19" s="45"/>
      <c r="L19" s="45"/>
      <c r="Q19"/>
    </row>
    <row r="20" spans="1:17" x14ac:dyDescent="0.25">
      <c r="A20" s="1">
        <v>113205</v>
      </c>
      <c r="B20" s="57"/>
      <c r="C20" s="58"/>
      <c r="D20" s="58"/>
      <c r="E20" s="62" t="s">
        <v>28</v>
      </c>
      <c r="F20" s="61"/>
      <c r="G20" s="41">
        <f>550000*2*1.3</f>
        <v>1430000</v>
      </c>
      <c r="H20" s="49">
        <v>1196472.1599999999</v>
      </c>
      <c r="I20" s="42">
        <f t="shared" si="0"/>
        <v>0</v>
      </c>
      <c r="J20" s="43">
        <f t="shared" si="1"/>
        <v>233527.84000000008</v>
      </c>
      <c r="K20" s="45"/>
      <c r="L20" s="45"/>
      <c r="Q20"/>
    </row>
    <row r="21" spans="1:17" x14ac:dyDescent="0.25">
      <c r="A21" s="1">
        <v>113206</v>
      </c>
      <c r="B21" s="57"/>
      <c r="C21" s="58"/>
      <c r="D21" s="58"/>
      <c r="E21" s="62" t="s">
        <v>29</v>
      </c>
      <c r="F21" s="61"/>
      <c r="G21" s="41">
        <f>175000*2*1.3</f>
        <v>455000</v>
      </c>
      <c r="H21" s="49">
        <v>267311.8</v>
      </c>
      <c r="I21" s="42">
        <f t="shared" si="0"/>
        <v>0</v>
      </c>
      <c r="J21" s="43">
        <f t="shared" si="1"/>
        <v>187688.2</v>
      </c>
      <c r="K21" s="45"/>
      <c r="L21" s="45"/>
      <c r="Q21"/>
    </row>
    <row r="22" spans="1:17" x14ac:dyDescent="0.25">
      <c r="A22" s="1">
        <v>113207</v>
      </c>
      <c r="B22" s="57"/>
      <c r="C22" s="58"/>
      <c r="D22" s="58"/>
      <c r="E22" s="62" t="s">
        <v>30</v>
      </c>
      <c r="F22" s="61"/>
      <c r="G22" s="41">
        <f>265000*2*1.3</f>
        <v>689000</v>
      </c>
      <c r="H22" s="49">
        <v>795390</v>
      </c>
      <c r="I22" s="42">
        <f t="shared" si="0"/>
        <v>-106390</v>
      </c>
      <c r="J22" s="43">
        <f t="shared" si="1"/>
        <v>0</v>
      </c>
      <c r="K22" s="45"/>
      <c r="L22" s="45"/>
      <c r="Q22"/>
    </row>
    <row r="23" spans="1:17" x14ac:dyDescent="0.25">
      <c r="A23" s="1">
        <v>113208</v>
      </c>
      <c r="B23" s="57"/>
      <c r="C23" s="58"/>
      <c r="D23" s="58"/>
      <c r="E23" s="62" t="s">
        <v>31</v>
      </c>
      <c r="F23" s="61"/>
      <c r="G23" s="41">
        <f>10000*2*1.3</f>
        <v>26000</v>
      </c>
      <c r="H23" s="49">
        <v>325313</v>
      </c>
      <c r="I23" s="42">
        <f t="shared" si="0"/>
        <v>-299313</v>
      </c>
      <c r="J23" s="43">
        <f t="shared" si="1"/>
        <v>0</v>
      </c>
      <c r="K23" s="45"/>
      <c r="L23" s="45"/>
      <c r="Q23"/>
    </row>
    <row r="24" spans="1:17" x14ac:dyDescent="0.25">
      <c r="A24" s="1">
        <v>1133</v>
      </c>
      <c r="B24" s="57"/>
      <c r="C24" s="58"/>
      <c r="D24" s="58"/>
      <c r="E24" s="60" t="s">
        <v>32</v>
      </c>
      <c r="F24" s="61"/>
      <c r="G24" s="41">
        <f>+G25+G77</f>
        <v>975000</v>
      </c>
      <c r="H24" s="63">
        <f>+H25+H77</f>
        <v>366357.49</v>
      </c>
      <c r="I24" s="42">
        <f t="shared" si="0"/>
        <v>0</v>
      </c>
      <c r="J24" s="43">
        <f t="shared" si="1"/>
        <v>608642.51</v>
      </c>
      <c r="K24" s="45"/>
      <c r="L24" s="45"/>
      <c r="Q24"/>
    </row>
    <row r="25" spans="1:17" x14ac:dyDescent="0.25">
      <c r="A25" s="1">
        <v>113301</v>
      </c>
      <c r="B25" s="57"/>
      <c r="C25" s="58"/>
      <c r="D25" s="58"/>
      <c r="E25" s="62" t="s">
        <v>33</v>
      </c>
      <c r="F25" s="61"/>
      <c r="G25" s="41">
        <f>45000*2*1.3</f>
        <v>117000</v>
      </c>
      <c r="H25" s="49">
        <v>142460</v>
      </c>
      <c r="I25" s="42">
        <f t="shared" si="0"/>
        <v>-25460</v>
      </c>
      <c r="J25" s="43">
        <f t="shared" si="1"/>
        <v>0</v>
      </c>
      <c r="K25" s="45"/>
      <c r="L25" s="45"/>
      <c r="Q25"/>
    </row>
    <row r="26" spans="1:17" x14ac:dyDescent="0.25">
      <c r="A26" s="1"/>
      <c r="B26" s="57"/>
      <c r="C26" s="58"/>
      <c r="D26" s="58"/>
      <c r="E26" s="62" t="s">
        <v>34</v>
      </c>
      <c r="F26" s="61"/>
      <c r="G26" s="41"/>
      <c r="H26" s="49"/>
      <c r="I26" s="42">
        <f t="shared" si="0"/>
        <v>0</v>
      </c>
      <c r="J26" s="43">
        <f t="shared" si="1"/>
        <v>0</v>
      </c>
      <c r="K26" s="45"/>
      <c r="L26" s="45"/>
      <c r="Q26"/>
    </row>
    <row r="27" spans="1:17" x14ac:dyDescent="0.25">
      <c r="A27" s="1"/>
      <c r="B27" s="57"/>
      <c r="C27" s="58"/>
      <c r="D27" s="58"/>
      <c r="E27" s="62" t="s">
        <v>35</v>
      </c>
      <c r="F27" s="61"/>
      <c r="G27" s="41"/>
      <c r="H27" s="49"/>
      <c r="I27" s="42">
        <f t="shared" si="0"/>
        <v>0</v>
      </c>
      <c r="J27" s="43">
        <f t="shared" si="1"/>
        <v>0</v>
      </c>
      <c r="K27" s="45"/>
      <c r="L27" s="45"/>
    </row>
    <row r="28" spans="1:17" x14ac:dyDescent="0.25">
      <c r="A28" s="1"/>
      <c r="B28" s="57"/>
      <c r="C28" s="58"/>
      <c r="D28" s="58"/>
      <c r="E28" s="62" t="s">
        <v>36</v>
      </c>
      <c r="F28" s="61"/>
      <c r="G28" s="41"/>
      <c r="H28" s="49"/>
      <c r="I28" s="42">
        <f t="shared" si="0"/>
        <v>0</v>
      </c>
      <c r="J28" s="43">
        <f t="shared" si="1"/>
        <v>0</v>
      </c>
      <c r="K28" s="45"/>
      <c r="L28" s="45"/>
    </row>
    <row r="29" spans="1:17" x14ac:dyDescent="0.25">
      <c r="A29" s="1"/>
      <c r="B29" s="57"/>
      <c r="C29" s="58"/>
      <c r="D29" s="58"/>
      <c r="E29" s="62" t="s">
        <v>37</v>
      </c>
      <c r="F29" s="61"/>
      <c r="G29" s="41"/>
      <c r="H29" s="49"/>
      <c r="I29" s="42">
        <f t="shared" si="0"/>
        <v>0</v>
      </c>
      <c r="J29" s="43">
        <f t="shared" si="1"/>
        <v>0</v>
      </c>
      <c r="K29" s="45"/>
      <c r="L29" s="45"/>
    </row>
    <row r="30" spans="1:17" x14ac:dyDescent="0.25">
      <c r="A30" s="1"/>
      <c r="B30" s="57"/>
      <c r="C30" s="58"/>
      <c r="D30" s="58"/>
      <c r="E30" s="62" t="s">
        <v>38</v>
      </c>
      <c r="F30" s="61"/>
      <c r="G30" s="41"/>
      <c r="H30" s="49"/>
      <c r="I30" s="42">
        <f t="shared" si="0"/>
        <v>0</v>
      </c>
      <c r="J30" s="43">
        <f t="shared" si="1"/>
        <v>0</v>
      </c>
      <c r="K30" s="45"/>
      <c r="L30" s="45"/>
    </row>
    <row r="31" spans="1:17" x14ac:dyDescent="0.25">
      <c r="A31" s="1"/>
      <c r="B31" s="57"/>
      <c r="C31" s="58"/>
      <c r="D31" s="58"/>
      <c r="E31" s="62" t="s">
        <v>39</v>
      </c>
      <c r="F31" s="61"/>
      <c r="G31" s="41"/>
      <c r="H31" s="49"/>
      <c r="I31" s="42">
        <f t="shared" si="0"/>
        <v>0</v>
      </c>
      <c r="J31" s="43">
        <f t="shared" si="1"/>
        <v>0</v>
      </c>
      <c r="K31" s="45"/>
      <c r="L31" s="45"/>
    </row>
    <row r="32" spans="1:17" x14ac:dyDescent="0.25">
      <c r="A32" s="1"/>
      <c r="B32" s="57"/>
      <c r="C32" s="58"/>
      <c r="D32" s="58"/>
      <c r="E32" s="62" t="s">
        <v>40</v>
      </c>
      <c r="F32" s="61"/>
      <c r="G32" s="41"/>
      <c r="H32" s="49"/>
      <c r="I32" s="42">
        <f t="shared" si="0"/>
        <v>0</v>
      </c>
      <c r="J32" s="43">
        <f t="shared" si="1"/>
        <v>0</v>
      </c>
      <c r="K32" s="45"/>
      <c r="L32" s="45"/>
    </row>
    <row r="33" spans="1:17" x14ac:dyDescent="0.25">
      <c r="A33" s="1"/>
      <c r="B33" s="57"/>
      <c r="C33" s="58"/>
      <c r="D33" s="58"/>
      <c r="E33" s="62" t="s">
        <v>41</v>
      </c>
      <c r="F33" s="61"/>
      <c r="G33" s="41"/>
      <c r="H33" s="49"/>
      <c r="I33" s="42">
        <f t="shared" si="0"/>
        <v>0</v>
      </c>
      <c r="J33" s="43">
        <f t="shared" si="1"/>
        <v>0</v>
      </c>
      <c r="K33" s="45"/>
      <c r="L33" s="45"/>
    </row>
    <row r="34" spans="1:17" x14ac:dyDescent="0.25">
      <c r="A34" s="1"/>
      <c r="B34" s="57"/>
      <c r="C34" s="58"/>
      <c r="D34" s="58"/>
      <c r="E34" s="62" t="s">
        <v>42</v>
      </c>
      <c r="F34" s="61"/>
      <c r="G34" s="41"/>
      <c r="H34" s="49"/>
      <c r="I34" s="42">
        <f t="shared" si="0"/>
        <v>0</v>
      </c>
      <c r="J34" s="43">
        <f t="shared" si="1"/>
        <v>0</v>
      </c>
      <c r="K34" s="45"/>
      <c r="L34" s="45"/>
    </row>
    <row r="35" spans="1:17" x14ac:dyDescent="0.25">
      <c r="A35" s="1"/>
      <c r="B35" s="57"/>
      <c r="C35" s="58"/>
      <c r="D35" s="58"/>
      <c r="E35" s="62" t="s">
        <v>43</v>
      </c>
      <c r="F35" s="61"/>
      <c r="G35" s="41"/>
      <c r="H35" s="49"/>
      <c r="I35" s="42">
        <f t="shared" si="0"/>
        <v>0</v>
      </c>
      <c r="J35" s="43">
        <f t="shared" si="1"/>
        <v>0</v>
      </c>
      <c r="K35" s="45"/>
      <c r="L35" s="45"/>
    </row>
    <row r="36" spans="1:17" x14ac:dyDescent="0.25">
      <c r="A36" s="1"/>
      <c r="B36" s="57"/>
      <c r="C36" s="58"/>
      <c r="D36" s="58"/>
      <c r="E36" s="60" t="s">
        <v>44</v>
      </c>
      <c r="F36" s="61"/>
      <c r="G36" s="41"/>
      <c r="H36" s="49"/>
      <c r="I36" s="42">
        <f t="shared" si="0"/>
        <v>0</v>
      </c>
      <c r="J36" s="43">
        <f t="shared" si="1"/>
        <v>0</v>
      </c>
      <c r="K36" s="45"/>
      <c r="L36" s="45"/>
    </row>
    <row r="37" spans="1:17" x14ac:dyDescent="0.25">
      <c r="A37" s="1"/>
      <c r="B37" s="57"/>
      <c r="C37" s="58"/>
      <c r="D37" s="58"/>
      <c r="E37" s="62" t="s">
        <v>45</v>
      </c>
      <c r="F37" s="61"/>
      <c r="G37" s="41"/>
      <c r="H37" s="49"/>
      <c r="I37" s="42">
        <f t="shared" si="0"/>
        <v>0</v>
      </c>
      <c r="J37" s="43">
        <f t="shared" si="1"/>
        <v>0</v>
      </c>
      <c r="K37" s="45"/>
      <c r="L37" s="45"/>
    </row>
    <row r="38" spans="1:17" x14ac:dyDescent="0.25">
      <c r="A38" s="1"/>
      <c r="B38" s="57"/>
      <c r="C38" s="58"/>
      <c r="D38" s="58"/>
      <c r="E38" s="62" t="s">
        <v>46</v>
      </c>
      <c r="F38" s="61"/>
      <c r="G38" s="41"/>
      <c r="H38" s="49"/>
      <c r="I38" s="42">
        <f t="shared" si="0"/>
        <v>0</v>
      </c>
      <c r="J38" s="43">
        <f t="shared" si="1"/>
        <v>0</v>
      </c>
      <c r="K38" s="45"/>
      <c r="L38" s="45"/>
    </row>
    <row r="39" spans="1:17" x14ac:dyDescent="0.25">
      <c r="A39" s="1"/>
      <c r="B39" s="57"/>
      <c r="C39" s="58"/>
      <c r="D39" s="58"/>
      <c r="E39" s="62" t="s">
        <v>47</v>
      </c>
      <c r="F39" s="61"/>
      <c r="G39" s="41"/>
      <c r="H39" s="49"/>
      <c r="I39" s="42">
        <f t="shared" si="0"/>
        <v>0</v>
      </c>
      <c r="J39" s="43">
        <f t="shared" si="1"/>
        <v>0</v>
      </c>
      <c r="K39" s="45"/>
      <c r="L39" s="45"/>
    </row>
    <row r="40" spans="1:17" x14ac:dyDescent="0.25">
      <c r="A40" s="1"/>
      <c r="B40" s="57"/>
      <c r="C40" s="58"/>
      <c r="D40" s="58"/>
      <c r="E40" s="62" t="s">
        <v>48</v>
      </c>
      <c r="F40" s="61"/>
      <c r="G40" s="41"/>
      <c r="H40" s="49"/>
      <c r="I40" s="42">
        <f t="shared" si="0"/>
        <v>0</v>
      </c>
      <c r="J40" s="43">
        <f t="shared" si="1"/>
        <v>0</v>
      </c>
      <c r="K40" s="45"/>
      <c r="L40" s="45"/>
    </row>
    <row r="41" spans="1:17" s="65" customFormat="1" x14ac:dyDescent="0.25">
      <c r="A41" s="1"/>
      <c r="B41" s="57"/>
      <c r="C41" s="58"/>
      <c r="D41" s="58" t="s">
        <v>49</v>
      </c>
      <c r="E41" s="58"/>
      <c r="F41" s="61"/>
      <c r="G41" s="41"/>
      <c r="H41" s="49"/>
      <c r="I41" s="42">
        <f t="shared" si="0"/>
        <v>0</v>
      </c>
      <c r="J41" s="43">
        <f t="shared" si="1"/>
        <v>0</v>
      </c>
      <c r="K41" s="64"/>
      <c r="L41" s="64"/>
      <c r="Q41" s="66"/>
    </row>
    <row r="42" spans="1:17" s="65" customFormat="1" x14ac:dyDescent="0.25">
      <c r="A42" s="1"/>
      <c r="B42" s="57"/>
      <c r="C42" s="58"/>
      <c r="D42" s="58"/>
      <c r="E42" s="60" t="s">
        <v>50</v>
      </c>
      <c r="F42" s="61"/>
      <c r="G42" s="41"/>
      <c r="H42" s="49"/>
      <c r="I42" s="42">
        <f t="shared" si="0"/>
        <v>0</v>
      </c>
      <c r="J42" s="43">
        <f t="shared" si="1"/>
        <v>0</v>
      </c>
      <c r="K42" s="64"/>
      <c r="L42" s="64"/>
      <c r="Q42" s="66"/>
    </row>
    <row r="43" spans="1:17" s="65" customFormat="1" x14ac:dyDescent="0.25">
      <c r="A43" s="1"/>
      <c r="B43" s="57"/>
      <c r="C43" s="58"/>
      <c r="D43" s="58"/>
      <c r="E43" s="62" t="s">
        <v>51</v>
      </c>
      <c r="F43" s="61"/>
      <c r="G43" s="41"/>
      <c r="H43" s="49"/>
      <c r="I43" s="42">
        <f t="shared" si="0"/>
        <v>0</v>
      </c>
      <c r="J43" s="43">
        <f t="shared" si="1"/>
        <v>0</v>
      </c>
      <c r="K43" s="64"/>
      <c r="L43" s="64"/>
      <c r="Q43" s="66"/>
    </row>
    <row r="44" spans="1:17" s="65" customFormat="1" x14ac:dyDescent="0.25">
      <c r="A44" s="1"/>
      <c r="B44" s="57"/>
      <c r="C44" s="58"/>
      <c r="D44" s="58"/>
      <c r="E44" s="62" t="s">
        <v>52</v>
      </c>
      <c r="F44" s="61"/>
      <c r="G44" s="41"/>
      <c r="H44" s="49"/>
      <c r="I44" s="42">
        <f t="shared" si="0"/>
        <v>0</v>
      </c>
      <c r="J44" s="43">
        <f t="shared" si="1"/>
        <v>0</v>
      </c>
      <c r="K44" s="64"/>
      <c r="L44" s="64"/>
      <c r="Q44" s="66"/>
    </row>
    <row r="45" spans="1:17" s="65" customFormat="1" x14ac:dyDescent="0.25">
      <c r="A45" s="1"/>
      <c r="B45" s="57"/>
      <c r="C45" s="58"/>
      <c r="D45" s="58"/>
      <c r="E45" s="62" t="s">
        <v>53</v>
      </c>
      <c r="F45" s="61"/>
      <c r="G45" s="41"/>
      <c r="H45" s="49"/>
      <c r="I45" s="42">
        <f t="shared" si="0"/>
        <v>0</v>
      </c>
      <c r="J45" s="43">
        <f t="shared" si="1"/>
        <v>0</v>
      </c>
      <c r="K45" s="64"/>
      <c r="L45" s="64"/>
      <c r="Q45" s="66"/>
    </row>
    <row r="46" spans="1:17" s="65" customFormat="1" x14ac:dyDescent="0.25">
      <c r="A46" s="1"/>
      <c r="B46" s="57"/>
      <c r="C46" s="58"/>
      <c r="D46" s="58"/>
      <c r="E46" s="60" t="s">
        <v>54</v>
      </c>
      <c r="F46" s="61"/>
      <c r="G46" s="41"/>
      <c r="H46" s="49"/>
      <c r="I46" s="42">
        <f t="shared" si="0"/>
        <v>0</v>
      </c>
      <c r="J46" s="43">
        <f t="shared" si="1"/>
        <v>0</v>
      </c>
      <c r="K46" s="64"/>
      <c r="L46" s="64"/>
      <c r="Q46" s="66"/>
    </row>
    <row r="47" spans="1:17" s="65" customFormat="1" x14ac:dyDescent="0.25">
      <c r="A47" s="1"/>
      <c r="B47" s="57"/>
      <c r="C47" s="58"/>
      <c r="D47" s="58"/>
      <c r="E47" s="62" t="s">
        <v>55</v>
      </c>
      <c r="F47" s="61"/>
      <c r="G47" s="41"/>
      <c r="H47" s="49"/>
      <c r="I47" s="42">
        <f t="shared" si="0"/>
        <v>0</v>
      </c>
      <c r="J47" s="43">
        <f t="shared" si="1"/>
        <v>0</v>
      </c>
      <c r="K47" s="64"/>
      <c r="L47" s="64"/>
      <c r="Q47" s="66"/>
    </row>
    <row r="48" spans="1:17" s="65" customFormat="1" x14ac:dyDescent="0.25">
      <c r="A48" s="1"/>
      <c r="B48" s="57"/>
      <c r="C48" s="58"/>
      <c r="D48" s="58"/>
      <c r="E48" s="62" t="s">
        <v>56</v>
      </c>
      <c r="F48" s="61"/>
      <c r="G48" s="41"/>
      <c r="H48" s="49"/>
      <c r="I48" s="42">
        <f t="shared" si="0"/>
        <v>0</v>
      </c>
      <c r="J48" s="43">
        <f t="shared" si="1"/>
        <v>0</v>
      </c>
      <c r="K48" s="64"/>
      <c r="L48" s="64"/>
      <c r="Q48" s="66"/>
    </row>
    <row r="49" spans="1:17" s="65" customFormat="1" x14ac:dyDescent="0.25">
      <c r="A49" s="1"/>
      <c r="B49" s="57"/>
      <c r="C49" s="58"/>
      <c r="D49" s="58"/>
      <c r="E49" s="62" t="s">
        <v>57</v>
      </c>
      <c r="F49" s="61"/>
      <c r="G49" s="41"/>
      <c r="H49" s="49"/>
      <c r="I49" s="42">
        <f t="shared" si="0"/>
        <v>0</v>
      </c>
      <c r="J49" s="43">
        <f t="shared" si="1"/>
        <v>0</v>
      </c>
      <c r="K49" s="64"/>
      <c r="L49" s="64"/>
      <c r="Q49" s="66"/>
    </row>
    <row r="50" spans="1:17" s="65" customFormat="1" x14ac:dyDescent="0.25">
      <c r="A50" s="1"/>
      <c r="B50" s="57"/>
      <c r="C50" s="58"/>
      <c r="D50" s="58"/>
      <c r="E50" s="62" t="s">
        <v>58</v>
      </c>
      <c r="F50" s="61"/>
      <c r="G50" s="41"/>
      <c r="H50" s="49"/>
      <c r="I50" s="42">
        <f t="shared" si="0"/>
        <v>0</v>
      </c>
      <c r="J50" s="43">
        <f t="shared" si="1"/>
        <v>0</v>
      </c>
      <c r="K50" s="64"/>
      <c r="L50" s="64"/>
      <c r="Q50" s="66"/>
    </row>
    <row r="51" spans="1:17" s="65" customFormat="1" x14ac:dyDescent="0.25">
      <c r="A51" s="1"/>
      <c r="B51" s="57"/>
      <c r="C51" s="58"/>
      <c r="D51" s="58"/>
      <c r="E51" s="62" t="s">
        <v>59</v>
      </c>
      <c r="F51" s="61"/>
      <c r="G51" s="41"/>
      <c r="H51" s="49"/>
      <c r="I51" s="42">
        <f t="shared" si="0"/>
        <v>0</v>
      </c>
      <c r="J51" s="43">
        <f t="shared" si="1"/>
        <v>0</v>
      </c>
      <c r="K51" s="64"/>
      <c r="L51" s="64"/>
      <c r="Q51" s="66"/>
    </row>
    <row r="52" spans="1:17" s="65" customFormat="1" x14ac:dyDescent="0.25">
      <c r="A52" s="1"/>
      <c r="B52" s="57"/>
      <c r="C52" s="58"/>
      <c r="D52" s="58"/>
      <c r="E52" s="62" t="s">
        <v>60</v>
      </c>
      <c r="F52" s="61"/>
      <c r="G52" s="41"/>
      <c r="H52" s="49"/>
      <c r="I52" s="42">
        <f t="shared" si="0"/>
        <v>0</v>
      </c>
      <c r="J52" s="43">
        <f t="shared" si="1"/>
        <v>0</v>
      </c>
      <c r="K52" s="64"/>
      <c r="L52" s="64"/>
      <c r="Q52" s="66"/>
    </row>
    <row r="53" spans="1:17" s="65" customFormat="1" x14ac:dyDescent="0.25">
      <c r="A53" s="1"/>
      <c r="B53" s="57"/>
      <c r="C53" s="58"/>
      <c r="D53" s="58"/>
      <c r="E53" s="62" t="s">
        <v>61</v>
      </c>
      <c r="F53" s="61"/>
      <c r="G53" s="41"/>
      <c r="H53" s="49"/>
      <c r="I53" s="42">
        <f t="shared" si="0"/>
        <v>0</v>
      </c>
      <c r="J53" s="43">
        <f t="shared" si="1"/>
        <v>0</v>
      </c>
      <c r="K53" s="64"/>
      <c r="L53" s="64"/>
      <c r="Q53" s="66"/>
    </row>
    <row r="54" spans="1:17" s="65" customFormat="1" x14ac:dyDescent="0.25">
      <c r="A54" s="1"/>
      <c r="B54" s="57"/>
      <c r="C54" s="58"/>
      <c r="D54" s="58"/>
      <c r="E54" s="60" t="s">
        <v>62</v>
      </c>
      <c r="F54" s="61"/>
      <c r="G54" s="41"/>
      <c r="H54" s="49"/>
      <c r="I54" s="42">
        <f t="shared" si="0"/>
        <v>0</v>
      </c>
      <c r="J54" s="43">
        <f t="shared" si="1"/>
        <v>0</v>
      </c>
      <c r="K54" s="64"/>
      <c r="L54" s="64"/>
      <c r="Q54" s="66"/>
    </row>
    <row r="55" spans="1:17" s="65" customFormat="1" x14ac:dyDescent="0.25">
      <c r="A55" s="1"/>
      <c r="B55" s="57"/>
      <c r="C55" s="58"/>
      <c r="D55" s="58"/>
      <c r="E55" s="62" t="s">
        <v>63</v>
      </c>
      <c r="F55" s="61"/>
      <c r="G55" s="41"/>
      <c r="H55" s="49"/>
      <c r="I55" s="42">
        <f t="shared" si="0"/>
        <v>0</v>
      </c>
      <c r="J55" s="43">
        <f t="shared" si="1"/>
        <v>0</v>
      </c>
      <c r="K55" s="64"/>
      <c r="L55" s="64"/>
      <c r="Q55" s="66"/>
    </row>
    <row r="56" spans="1:17" s="65" customFormat="1" x14ac:dyDescent="0.25">
      <c r="A56" s="1"/>
      <c r="B56" s="57"/>
      <c r="C56" s="58"/>
      <c r="D56" s="58"/>
      <c r="E56" s="62" t="s">
        <v>64</v>
      </c>
      <c r="F56" s="61"/>
      <c r="G56" s="41"/>
      <c r="H56" s="49"/>
      <c r="I56" s="42">
        <f t="shared" si="0"/>
        <v>0</v>
      </c>
      <c r="J56" s="43">
        <f t="shared" si="1"/>
        <v>0</v>
      </c>
      <c r="K56" s="64"/>
      <c r="L56" s="64"/>
      <c r="Q56" s="66"/>
    </row>
    <row r="57" spans="1:17" s="65" customFormat="1" x14ac:dyDescent="0.25">
      <c r="A57" s="1"/>
      <c r="B57" s="57"/>
      <c r="C57" s="58"/>
      <c r="D57" s="58"/>
      <c r="E57" s="62" t="s">
        <v>65</v>
      </c>
      <c r="F57" s="61"/>
      <c r="G57" s="41"/>
      <c r="H57" s="49"/>
      <c r="I57" s="42">
        <f t="shared" si="0"/>
        <v>0</v>
      </c>
      <c r="J57" s="43">
        <f t="shared" si="1"/>
        <v>0</v>
      </c>
      <c r="K57" s="64"/>
      <c r="L57" s="64"/>
      <c r="Q57" s="66"/>
    </row>
    <row r="58" spans="1:17" s="65" customFormat="1" x14ac:dyDescent="0.25">
      <c r="A58" s="1"/>
      <c r="B58" s="57"/>
      <c r="C58" s="58"/>
      <c r="D58" s="58"/>
      <c r="E58" s="62" t="s">
        <v>66</v>
      </c>
      <c r="F58" s="61"/>
      <c r="G58" s="41"/>
      <c r="H58" s="49"/>
      <c r="I58" s="42">
        <f t="shared" si="0"/>
        <v>0</v>
      </c>
      <c r="J58" s="43">
        <f t="shared" si="1"/>
        <v>0</v>
      </c>
      <c r="K58" s="64"/>
      <c r="L58" s="64"/>
      <c r="Q58" s="66"/>
    </row>
    <row r="59" spans="1:17" s="65" customFormat="1" x14ac:dyDescent="0.25">
      <c r="A59" s="1"/>
      <c r="B59" s="57"/>
      <c r="C59" s="58"/>
      <c r="D59" s="58"/>
      <c r="E59" s="60" t="s">
        <v>67</v>
      </c>
      <c r="F59" s="61"/>
      <c r="G59" s="41"/>
      <c r="H59" s="49"/>
      <c r="I59" s="42">
        <f t="shared" si="0"/>
        <v>0</v>
      </c>
      <c r="J59" s="43">
        <f t="shared" si="1"/>
        <v>0</v>
      </c>
      <c r="K59" s="64"/>
      <c r="L59" s="64"/>
      <c r="Q59" s="66"/>
    </row>
    <row r="60" spans="1:17" s="65" customFormat="1" x14ac:dyDescent="0.25">
      <c r="A60" s="1"/>
      <c r="B60" s="57"/>
      <c r="C60" s="58"/>
      <c r="D60" s="58"/>
      <c r="E60" s="62" t="s">
        <v>68</v>
      </c>
      <c r="F60" s="61"/>
      <c r="G60" s="41"/>
      <c r="H60" s="49"/>
      <c r="I60" s="42">
        <f t="shared" si="0"/>
        <v>0</v>
      </c>
      <c r="J60" s="43">
        <f t="shared" si="1"/>
        <v>0</v>
      </c>
      <c r="K60" s="64"/>
      <c r="L60" s="64"/>
      <c r="Q60" s="66"/>
    </row>
    <row r="61" spans="1:17" s="65" customFormat="1" x14ac:dyDescent="0.25">
      <c r="A61" s="1"/>
      <c r="B61" s="57"/>
      <c r="C61" s="58"/>
      <c r="D61" s="58" t="s">
        <v>69</v>
      </c>
      <c r="E61" s="58"/>
      <c r="F61" s="61"/>
      <c r="G61" s="41"/>
      <c r="H61" s="49"/>
      <c r="I61" s="42">
        <f t="shared" si="0"/>
        <v>0</v>
      </c>
      <c r="J61" s="43">
        <f t="shared" si="1"/>
        <v>0</v>
      </c>
      <c r="K61" s="64"/>
      <c r="L61" s="64"/>
      <c r="Q61" s="66"/>
    </row>
    <row r="62" spans="1:17" s="65" customFormat="1" x14ac:dyDescent="0.25">
      <c r="A62" s="1"/>
      <c r="B62" s="57"/>
      <c r="C62" s="58"/>
      <c r="D62" s="58"/>
      <c r="E62" s="60" t="s">
        <v>70</v>
      </c>
      <c r="F62" s="61"/>
      <c r="G62" s="41"/>
      <c r="H62" s="49"/>
      <c r="I62" s="42">
        <f t="shared" si="0"/>
        <v>0</v>
      </c>
      <c r="J62" s="43">
        <f t="shared" si="1"/>
        <v>0</v>
      </c>
      <c r="K62" s="64"/>
      <c r="L62" s="64"/>
      <c r="Q62" s="66"/>
    </row>
    <row r="63" spans="1:17" s="65" customFormat="1" x14ac:dyDescent="0.25">
      <c r="A63" s="1"/>
      <c r="B63" s="57"/>
      <c r="C63" s="58"/>
      <c r="D63" s="58"/>
      <c r="E63" s="62" t="s">
        <v>71</v>
      </c>
      <c r="F63" s="61"/>
      <c r="G63" s="41"/>
      <c r="H63" s="49"/>
      <c r="I63" s="42">
        <f t="shared" si="0"/>
        <v>0</v>
      </c>
      <c r="J63" s="43">
        <f t="shared" si="1"/>
        <v>0</v>
      </c>
      <c r="K63" s="64"/>
      <c r="L63" s="64"/>
      <c r="Q63" s="66"/>
    </row>
    <row r="64" spans="1:17" s="65" customFormat="1" x14ac:dyDescent="0.25">
      <c r="A64" s="1"/>
      <c r="B64" s="57"/>
      <c r="C64" s="58"/>
      <c r="D64" s="58"/>
      <c r="E64" s="60" t="s">
        <v>72</v>
      </c>
      <c r="F64" s="61"/>
      <c r="G64" s="41"/>
      <c r="H64" s="49"/>
      <c r="I64" s="42">
        <f t="shared" si="0"/>
        <v>0</v>
      </c>
      <c r="J64" s="43">
        <f t="shared" si="1"/>
        <v>0</v>
      </c>
      <c r="K64" s="64"/>
      <c r="L64" s="64"/>
      <c r="Q64" s="66"/>
    </row>
    <row r="65" spans="1:17" s="65" customFormat="1" x14ac:dyDescent="0.25">
      <c r="A65" s="1"/>
      <c r="B65" s="57"/>
      <c r="C65" s="58"/>
      <c r="D65" s="58"/>
      <c r="E65" s="62" t="s">
        <v>73</v>
      </c>
      <c r="F65" s="61"/>
      <c r="G65" s="41"/>
      <c r="H65" s="49"/>
      <c r="I65" s="42">
        <f t="shared" si="0"/>
        <v>0</v>
      </c>
      <c r="J65" s="43">
        <f t="shared" si="1"/>
        <v>0</v>
      </c>
      <c r="K65" s="64"/>
      <c r="L65" s="64"/>
      <c r="Q65" s="66"/>
    </row>
    <row r="66" spans="1:17" s="65" customFormat="1" x14ac:dyDescent="0.25">
      <c r="A66" s="1"/>
      <c r="B66" s="57"/>
      <c r="C66" s="58"/>
      <c r="D66" s="58"/>
      <c r="E66" s="62" t="s">
        <v>74</v>
      </c>
      <c r="F66" s="61"/>
      <c r="G66" s="41"/>
      <c r="H66" s="49"/>
      <c r="I66" s="42">
        <f t="shared" si="0"/>
        <v>0</v>
      </c>
      <c r="J66" s="43">
        <f t="shared" si="1"/>
        <v>0</v>
      </c>
      <c r="K66" s="64"/>
      <c r="L66" s="64"/>
      <c r="Q66" s="66"/>
    </row>
    <row r="67" spans="1:17" s="65" customFormat="1" x14ac:dyDescent="0.25">
      <c r="A67" s="1"/>
      <c r="B67" s="57"/>
      <c r="C67" s="58"/>
      <c r="D67" s="58"/>
      <c r="E67" s="62" t="s">
        <v>75</v>
      </c>
      <c r="F67" s="61"/>
      <c r="G67" s="41"/>
      <c r="H67" s="49"/>
      <c r="I67" s="42">
        <f t="shared" si="0"/>
        <v>0</v>
      </c>
      <c r="J67" s="43">
        <f t="shared" si="1"/>
        <v>0</v>
      </c>
      <c r="K67" s="64"/>
      <c r="L67" s="64"/>
      <c r="Q67" s="66"/>
    </row>
    <row r="68" spans="1:17" s="69" customFormat="1" x14ac:dyDescent="0.25">
      <c r="A68" s="1"/>
      <c r="B68" s="57"/>
      <c r="C68" s="58"/>
      <c r="D68" s="58" t="s">
        <v>76</v>
      </c>
      <c r="E68" s="67"/>
      <c r="F68" s="61"/>
      <c r="G68" s="41"/>
      <c r="H68" s="49"/>
      <c r="I68" s="42">
        <f t="shared" si="0"/>
        <v>0</v>
      </c>
      <c r="J68" s="43">
        <f t="shared" si="1"/>
        <v>0</v>
      </c>
      <c r="K68" s="68"/>
      <c r="L68" s="68"/>
      <c r="Q68" s="70"/>
    </row>
    <row r="69" spans="1:17" s="69" customFormat="1" x14ac:dyDescent="0.25">
      <c r="A69" s="1"/>
      <c r="B69" s="57"/>
      <c r="C69" s="58"/>
      <c r="D69" s="58"/>
      <c r="E69" s="62" t="s">
        <v>77</v>
      </c>
      <c r="F69" s="61"/>
      <c r="G69" s="41"/>
      <c r="H69" s="49"/>
      <c r="I69" s="42">
        <f t="shared" si="0"/>
        <v>0</v>
      </c>
      <c r="J69" s="43">
        <f t="shared" si="1"/>
        <v>0</v>
      </c>
      <c r="K69" s="68"/>
      <c r="L69" s="68"/>
      <c r="Q69" s="70"/>
    </row>
    <row r="70" spans="1:17" s="69" customFormat="1" x14ac:dyDescent="0.25">
      <c r="A70" s="1"/>
      <c r="B70" s="57"/>
      <c r="C70" s="58"/>
      <c r="D70" s="58"/>
      <c r="E70" s="62" t="s">
        <v>78</v>
      </c>
      <c r="F70" s="61"/>
      <c r="G70" s="41"/>
      <c r="H70" s="49"/>
      <c r="I70" s="42">
        <f t="shared" ref="I70:I133" si="2">IF(G70&gt;H70,0,G70-H70)</f>
        <v>0</v>
      </c>
      <c r="J70" s="43">
        <f t="shared" ref="J70:J133" si="3">IF(G70&lt;H70,0,G70-H70)</f>
        <v>0</v>
      </c>
      <c r="K70" s="68"/>
      <c r="L70" s="68"/>
      <c r="Q70" s="70"/>
    </row>
    <row r="71" spans="1:17" s="69" customFormat="1" x14ac:dyDescent="0.25">
      <c r="A71" s="1"/>
      <c r="B71" s="57"/>
      <c r="C71" s="58"/>
      <c r="D71" s="58"/>
      <c r="E71" s="62" t="s">
        <v>79</v>
      </c>
      <c r="F71" s="61"/>
      <c r="G71" s="41"/>
      <c r="H71" s="49"/>
      <c r="I71" s="42">
        <f t="shared" si="2"/>
        <v>0</v>
      </c>
      <c r="J71" s="43">
        <f t="shared" si="3"/>
        <v>0</v>
      </c>
      <c r="K71" s="68"/>
      <c r="L71" s="68"/>
      <c r="Q71" s="70"/>
    </row>
    <row r="72" spans="1:17" s="65" customFormat="1" x14ac:dyDescent="0.25">
      <c r="A72" s="1"/>
      <c r="B72" s="57"/>
      <c r="C72" s="58"/>
      <c r="D72" s="58" t="s">
        <v>80</v>
      </c>
      <c r="E72" s="58"/>
      <c r="F72" s="61"/>
      <c r="G72" s="41"/>
      <c r="H72" s="49"/>
      <c r="I72" s="42">
        <f t="shared" si="2"/>
        <v>0</v>
      </c>
      <c r="J72" s="43">
        <f t="shared" si="3"/>
        <v>0</v>
      </c>
      <c r="K72" s="64"/>
      <c r="L72" s="64"/>
      <c r="Q72" s="66"/>
    </row>
    <row r="73" spans="1:17" s="65" customFormat="1" x14ac:dyDescent="0.25">
      <c r="A73" s="1"/>
      <c r="B73" s="57"/>
      <c r="C73" s="58"/>
      <c r="D73" s="58"/>
      <c r="E73" s="62" t="s">
        <v>81</v>
      </c>
      <c r="F73" s="61"/>
      <c r="G73" s="41"/>
      <c r="H73" s="49"/>
      <c r="I73" s="42">
        <f t="shared" si="2"/>
        <v>0</v>
      </c>
      <c r="J73" s="43">
        <f t="shared" si="3"/>
        <v>0</v>
      </c>
      <c r="K73" s="64"/>
      <c r="L73" s="64"/>
      <c r="Q73" s="66"/>
    </row>
    <row r="74" spans="1:17" s="65" customFormat="1" x14ac:dyDescent="0.25">
      <c r="A74" s="1"/>
      <c r="B74" s="57"/>
      <c r="C74" s="58"/>
      <c r="D74" s="58"/>
      <c r="E74" s="62" t="s">
        <v>82</v>
      </c>
      <c r="F74" s="61"/>
      <c r="G74" s="41"/>
      <c r="H74" s="49"/>
      <c r="I74" s="42">
        <f t="shared" si="2"/>
        <v>0</v>
      </c>
      <c r="J74" s="43">
        <f t="shared" si="3"/>
        <v>0</v>
      </c>
      <c r="K74" s="64"/>
      <c r="L74" s="64"/>
      <c r="Q74" s="66"/>
    </row>
    <row r="75" spans="1:17" s="65" customFormat="1" x14ac:dyDescent="0.25">
      <c r="A75" s="1"/>
      <c r="B75" s="57"/>
      <c r="C75" s="58"/>
      <c r="D75" s="58"/>
      <c r="E75" s="62" t="s">
        <v>83</v>
      </c>
      <c r="F75" s="61"/>
      <c r="G75" s="41"/>
      <c r="H75" s="49"/>
      <c r="I75" s="42">
        <f t="shared" si="2"/>
        <v>0</v>
      </c>
      <c r="J75" s="43">
        <f t="shared" si="3"/>
        <v>0</v>
      </c>
      <c r="K75" s="64"/>
      <c r="L75" s="64"/>
      <c r="Q75" s="66"/>
    </row>
    <row r="76" spans="1:17" s="65" customFormat="1" x14ac:dyDescent="0.25">
      <c r="A76" s="1"/>
      <c r="B76" s="57"/>
      <c r="C76" s="58"/>
      <c r="D76" s="58"/>
      <c r="E76" s="62" t="s">
        <v>84</v>
      </c>
      <c r="F76" s="61"/>
      <c r="G76" s="41"/>
      <c r="H76" s="49"/>
      <c r="I76" s="42">
        <f t="shared" si="2"/>
        <v>0</v>
      </c>
      <c r="J76" s="43">
        <f t="shared" si="3"/>
        <v>0</v>
      </c>
      <c r="K76" s="64"/>
      <c r="L76" s="64"/>
      <c r="Q76" s="66"/>
    </row>
    <row r="77" spans="1:17" s="65" customFormat="1" x14ac:dyDescent="0.25">
      <c r="A77" s="1">
        <v>113302</v>
      </c>
      <c r="B77" s="57"/>
      <c r="C77" s="58"/>
      <c r="D77" s="58"/>
      <c r="E77" s="62" t="s">
        <v>85</v>
      </c>
      <c r="F77" s="61"/>
      <c r="G77" s="41">
        <f>330000*2*1.3</f>
        <v>858000</v>
      </c>
      <c r="H77" s="49">
        <v>223897.49</v>
      </c>
      <c r="I77" s="42">
        <f t="shared" si="2"/>
        <v>0</v>
      </c>
      <c r="J77" s="43">
        <f t="shared" si="3"/>
        <v>634102.51</v>
      </c>
      <c r="K77" s="64"/>
      <c r="L77" s="64"/>
      <c r="Q77" s="66"/>
    </row>
    <row r="78" spans="1:17" s="65" customFormat="1" x14ac:dyDescent="0.25">
      <c r="A78" s="1">
        <v>134</v>
      </c>
      <c r="B78" s="57"/>
      <c r="C78" s="58" t="s">
        <v>86</v>
      </c>
      <c r="D78" s="58"/>
      <c r="E78" s="62"/>
      <c r="F78" s="61"/>
      <c r="G78" s="41">
        <f>+G79</f>
        <v>106800000</v>
      </c>
      <c r="H78" s="41">
        <f>+H79</f>
        <v>186279710.55000001</v>
      </c>
      <c r="I78" s="42">
        <f t="shared" si="2"/>
        <v>-79479710.550000012</v>
      </c>
      <c r="J78" s="43">
        <f t="shared" si="3"/>
        <v>0</v>
      </c>
      <c r="K78" s="64"/>
      <c r="L78" s="64"/>
      <c r="Q78" s="66"/>
    </row>
    <row r="79" spans="1:17" s="65" customFormat="1" x14ac:dyDescent="0.25">
      <c r="A79" s="1">
        <v>13401</v>
      </c>
      <c r="B79" s="57"/>
      <c r="C79" s="58"/>
      <c r="D79" s="58"/>
      <c r="E79" s="62" t="s">
        <v>87</v>
      </c>
      <c r="F79" s="61"/>
      <c r="G79" s="41">
        <v>106800000</v>
      </c>
      <c r="H79" s="49">
        <v>186279710.55000001</v>
      </c>
      <c r="I79" s="42">
        <f t="shared" si="2"/>
        <v>-79479710.550000012</v>
      </c>
      <c r="J79" s="43">
        <f t="shared" si="3"/>
        <v>0</v>
      </c>
      <c r="K79" s="64"/>
      <c r="L79" s="64"/>
      <c r="Q79" s="66"/>
    </row>
    <row r="80" spans="1:17" s="65" customFormat="1" x14ac:dyDescent="0.25">
      <c r="A80" s="1">
        <v>136</v>
      </c>
      <c r="B80" s="57"/>
      <c r="C80" s="58" t="s">
        <v>54</v>
      </c>
      <c r="D80" s="58"/>
      <c r="E80" s="62"/>
      <c r="F80" s="61"/>
      <c r="G80" s="41">
        <f>+G81</f>
        <v>78000</v>
      </c>
      <c r="H80" s="63">
        <f>+H81</f>
        <v>80352</v>
      </c>
      <c r="I80" s="42">
        <f t="shared" si="2"/>
        <v>-2352</v>
      </c>
      <c r="J80" s="43">
        <f t="shared" si="3"/>
        <v>0</v>
      </c>
      <c r="K80" s="64"/>
      <c r="L80" s="64"/>
      <c r="Q80" s="66"/>
    </row>
    <row r="81" spans="1:17" s="65" customFormat="1" x14ac:dyDescent="0.25">
      <c r="A81" s="1">
        <v>13601</v>
      </c>
      <c r="B81" s="57"/>
      <c r="C81" s="58"/>
      <c r="D81" s="58"/>
      <c r="E81" s="62" t="s">
        <v>88</v>
      </c>
      <c r="F81" s="61"/>
      <c r="G81" s="41">
        <f>30000*2*1.3</f>
        <v>78000</v>
      </c>
      <c r="H81" s="49">
        <v>80352</v>
      </c>
      <c r="I81" s="42">
        <f t="shared" si="2"/>
        <v>-2352</v>
      </c>
      <c r="J81" s="43">
        <f t="shared" si="3"/>
        <v>0</v>
      </c>
      <c r="K81" s="64"/>
      <c r="L81" s="64"/>
      <c r="Q81" s="66"/>
    </row>
    <row r="82" spans="1:17" s="65" customFormat="1" x14ac:dyDescent="0.25">
      <c r="A82" s="1">
        <v>139</v>
      </c>
      <c r="B82" s="57"/>
      <c r="C82" s="58"/>
      <c r="D82" s="58" t="s">
        <v>89</v>
      </c>
      <c r="E82" s="62"/>
      <c r="F82" s="61"/>
      <c r="G82" s="41">
        <f>+G83+G84+G86</f>
        <v>949000</v>
      </c>
      <c r="H82" s="63">
        <f>+H83+H84+H86+H85</f>
        <v>7437562.96</v>
      </c>
      <c r="I82" s="42">
        <f t="shared" si="2"/>
        <v>-6488562.96</v>
      </c>
      <c r="J82" s="43">
        <f t="shared" si="3"/>
        <v>0</v>
      </c>
      <c r="K82" s="64"/>
      <c r="L82" s="64"/>
      <c r="Q82" s="66"/>
    </row>
    <row r="83" spans="1:17" s="65" customFormat="1" x14ac:dyDescent="0.25">
      <c r="A83" s="1">
        <v>13902</v>
      </c>
      <c r="B83" s="57"/>
      <c r="C83" s="58"/>
      <c r="D83" s="58"/>
      <c r="E83" s="62" t="s">
        <v>90</v>
      </c>
      <c r="F83" s="61"/>
      <c r="G83" s="41">
        <f>400000*1.3</f>
        <v>520000</v>
      </c>
      <c r="H83" s="49">
        <v>2779500</v>
      </c>
      <c r="I83" s="42">
        <f t="shared" si="2"/>
        <v>-2259500</v>
      </c>
      <c r="J83" s="43">
        <f t="shared" si="3"/>
        <v>0</v>
      </c>
      <c r="K83" s="64"/>
      <c r="L83" s="64"/>
      <c r="Q83" s="66"/>
    </row>
    <row r="84" spans="1:17" s="65" customFormat="1" x14ac:dyDescent="0.25">
      <c r="A84" s="1">
        <v>13903</v>
      </c>
      <c r="B84" s="57"/>
      <c r="C84" s="58"/>
      <c r="D84" s="58"/>
      <c r="E84" s="62" t="s">
        <v>91</v>
      </c>
      <c r="F84" s="61"/>
      <c r="G84" s="41">
        <f>110000*2*1.3</f>
        <v>286000</v>
      </c>
      <c r="H84" s="49">
        <v>2746662.01</v>
      </c>
      <c r="I84" s="42">
        <f t="shared" si="2"/>
        <v>-2460662.0099999998</v>
      </c>
      <c r="J84" s="43">
        <f t="shared" si="3"/>
        <v>0</v>
      </c>
      <c r="K84" s="64"/>
      <c r="L84" s="64"/>
      <c r="Q84" s="66"/>
    </row>
    <row r="85" spans="1:17" s="65" customFormat="1" x14ac:dyDescent="0.25">
      <c r="A85" s="1">
        <v>13904</v>
      </c>
      <c r="B85" s="57"/>
      <c r="C85" s="58"/>
      <c r="D85" s="58"/>
      <c r="E85" s="62" t="s">
        <v>92</v>
      </c>
      <c r="F85" s="61"/>
      <c r="G85" s="41">
        <v>0</v>
      </c>
      <c r="H85" s="49">
        <v>1826350</v>
      </c>
      <c r="I85" s="42">
        <f t="shared" si="2"/>
        <v>-1826350</v>
      </c>
      <c r="J85" s="43">
        <f t="shared" si="3"/>
        <v>0</v>
      </c>
      <c r="K85" s="64"/>
      <c r="L85" s="64"/>
      <c r="Q85" s="66"/>
    </row>
    <row r="86" spans="1:17" s="65" customFormat="1" x14ac:dyDescent="0.25">
      <c r="A86" s="1">
        <v>13905</v>
      </c>
      <c r="B86" s="57"/>
      <c r="C86" s="58"/>
      <c r="D86" s="58"/>
      <c r="E86" s="62" t="s">
        <v>93</v>
      </c>
      <c r="F86" s="61"/>
      <c r="G86" s="41">
        <f>55000*2*1.3</f>
        <v>143000</v>
      </c>
      <c r="H86" s="49">
        <v>85050.95</v>
      </c>
      <c r="I86" s="42">
        <f t="shared" si="2"/>
        <v>0</v>
      </c>
      <c r="J86" s="43">
        <f t="shared" si="3"/>
        <v>57949.05</v>
      </c>
      <c r="K86" s="64"/>
      <c r="L86" s="64"/>
      <c r="Q86" s="66"/>
    </row>
    <row r="87" spans="1:17" s="55" customFormat="1" x14ac:dyDescent="0.25">
      <c r="A87" s="50">
        <v>17</v>
      </c>
      <c r="B87" s="71"/>
      <c r="C87" s="52" t="s">
        <v>94</v>
      </c>
      <c r="D87" s="52"/>
      <c r="E87" s="52"/>
      <c r="F87" s="72"/>
      <c r="G87" s="41">
        <f>+G88</f>
        <v>44546282</v>
      </c>
      <c r="H87" s="41">
        <f>+H88</f>
        <v>75247687.629999995</v>
      </c>
      <c r="I87" s="42">
        <f t="shared" si="2"/>
        <v>-30701405.629999995</v>
      </c>
      <c r="J87" s="43">
        <f t="shared" si="3"/>
        <v>0</v>
      </c>
      <c r="K87" s="54"/>
      <c r="L87" s="73"/>
      <c r="Q87" s="56"/>
    </row>
    <row r="88" spans="1:17" x14ac:dyDescent="0.25">
      <c r="A88" s="1"/>
      <c r="B88" s="74"/>
      <c r="C88" s="58"/>
      <c r="D88" s="58" t="s">
        <v>95</v>
      </c>
      <c r="E88" s="58"/>
      <c r="F88" s="75"/>
      <c r="G88" s="41">
        <f>+G89+G94</f>
        <v>44546282</v>
      </c>
      <c r="H88" s="41">
        <f>+H89+H94</f>
        <v>75247687.629999995</v>
      </c>
      <c r="I88" s="42">
        <f t="shared" si="2"/>
        <v>-30701405.629999995</v>
      </c>
      <c r="J88" s="43">
        <f t="shared" si="3"/>
        <v>0</v>
      </c>
      <c r="K88" s="45"/>
      <c r="L88" s="45"/>
    </row>
    <row r="89" spans="1:17" x14ac:dyDescent="0.25">
      <c r="A89" s="1"/>
      <c r="B89" s="74"/>
      <c r="C89" s="58"/>
      <c r="D89" s="58"/>
      <c r="E89" s="60"/>
      <c r="F89" s="75"/>
      <c r="G89" s="41"/>
      <c r="H89" s="41"/>
      <c r="I89" s="42">
        <f t="shared" si="2"/>
        <v>0</v>
      </c>
      <c r="J89" s="43">
        <f t="shared" si="3"/>
        <v>0</v>
      </c>
      <c r="K89" s="45"/>
      <c r="L89" s="45"/>
    </row>
    <row r="90" spans="1:17" x14ac:dyDescent="0.25">
      <c r="A90" s="1"/>
      <c r="B90" s="74"/>
      <c r="C90" s="58"/>
      <c r="D90" s="58"/>
      <c r="E90" s="62"/>
      <c r="F90" s="75"/>
      <c r="G90" s="41"/>
      <c r="H90" s="41"/>
      <c r="I90" s="42">
        <f t="shared" si="2"/>
        <v>0</v>
      </c>
      <c r="J90" s="43">
        <f t="shared" si="3"/>
        <v>0</v>
      </c>
      <c r="K90" s="45"/>
      <c r="L90" s="45"/>
      <c r="Q90"/>
    </row>
    <row r="91" spans="1:17" x14ac:dyDescent="0.25">
      <c r="A91" s="1"/>
      <c r="B91" s="74"/>
      <c r="C91" s="58"/>
      <c r="D91" s="58"/>
      <c r="E91" s="62"/>
      <c r="F91" s="75"/>
      <c r="G91" s="41"/>
      <c r="H91" s="41"/>
      <c r="I91" s="42">
        <f t="shared" si="2"/>
        <v>0</v>
      </c>
      <c r="J91" s="43">
        <f t="shared" si="3"/>
        <v>0</v>
      </c>
      <c r="K91" s="45"/>
      <c r="L91" s="45"/>
      <c r="Q91"/>
    </row>
    <row r="92" spans="1:17" x14ac:dyDescent="0.25">
      <c r="A92" s="1"/>
      <c r="B92" s="74"/>
      <c r="C92" s="58"/>
      <c r="D92" s="58"/>
      <c r="E92" s="62"/>
      <c r="F92" s="75"/>
      <c r="G92" s="41"/>
      <c r="H92" s="41"/>
      <c r="I92" s="42">
        <f t="shared" si="2"/>
        <v>0</v>
      </c>
      <c r="J92" s="43">
        <f t="shared" si="3"/>
        <v>0</v>
      </c>
      <c r="K92" s="45"/>
      <c r="L92" s="45"/>
      <c r="Q92"/>
    </row>
    <row r="93" spans="1:17" x14ac:dyDescent="0.25">
      <c r="A93" s="1"/>
      <c r="B93" s="74"/>
      <c r="C93" s="58"/>
      <c r="D93" s="58"/>
      <c r="E93" s="62"/>
      <c r="F93" s="75"/>
      <c r="G93" s="76"/>
      <c r="H93" s="76"/>
      <c r="I93" s="42">
        <f t="shared" si="2"/>
        <v>0</v>
      </c>
      <c r="J93" s="43">
        <f t="shared" si="3"/>
        <v>0</v>
      </c>
      <c r="K93" s="45"/>
      <c r="L93" s="45"/>
      <c r="Q93"/>
    </row>
    <row r="94" spans="1:17" x14ac:dyDescent="0.25">
      <c r="A94" s="1">
        <v>173</v>
      </c>
      <c r="B94" s="74"/>
      <c r="C94" s="58"/>
      <c r="D94" s="58"/>
      <c r="E94" s="60" t="s">
        <v>96</v>
      </c>
      <c r="F94" s="75"/>
      <c r="G94" s="41">
        <f>+G95</f>
        <v>44546282</v>
      </c>
      <c r="H94" s="41">
        <f>+H95</f>
        <v>75247687.629999995</v>
      </c>
      <c r="I94" s="42">
        <f t="shared" si="2"/>
        <v>-30701405.629999995</v>
      </c>
      <c r="J94" s="43">
        <f t="shared" si="3"/>
        <v>0</v>
      </c>
      <c r="K94" s="45"/>
      <c r="L94" s="45"/>
      <c r="Q94"/>
    </row>
    <row r="95" spans="1:17" x14ac:dyDescent="0.25">
      <c r="A95" s="1">
        <v>1731</v>
      </c>
      <c r="B95" s="74"/>
      <c r="C95" s="58"/>
      <c r="D95" s="58"/>
      <c r="E95" s="62" t="s">
        <v>97</v>
      </c>
      <c r="F95" s="75"/>
      <c r="G95" s="41">
        <f>+G96+G97+G101+G105+G106</f>
        <v>44546282</v>
      </c>
      <c r="H95" s="41">
        <f>+H96+H97+H101+H105+H106</f>
        <v>75247687.629999995</v>
      </c>
      <c r="I95" s="42">
        <f t="shared" si="2"/>
        <v>-30701405.629999995</v>
      </c>
      <c r="J95" s="43">
        <f t="shared" si="3"/>
        <v>0</v>
      </c>
      <c r="K95" s="45"/>
      <c r="L95" s="45"/>
      <c r="Q95"/>
    </row>
    <row r="96" spans="1:17" x14ac:dyDescent="0.25">
      <c r="A96" s="1">
        <v>173106</v>
      </c>
      <c r="B96" s="74"/>
      <c r="C96" s="58"/>
      <c r="D96" s="58"/>
      <c r="E96" s="62" t="s">
        <v>98</v>
      </c>
      <c r="F96" s="75"/>
      <c r="G96" s="41">
        <v>4976282</v>
      </c>
      <c r="H96" s="49">
        <v>7094465.9900000002</v>
      </c>
      <c r="I96" s="42">
        <f t="shared" si="2"/>
        <v>-2118183.9900000002</v>
      </c>
      <c r="J96" s="43">
        <f t="shared" si="3"/>
        <v>0</v>
      </c>
      <c r="K96" s="45"/>
      <c r="L96" s="45"/>
      <c r="Q96"/>
    </row>
    <row r="97" spans="1:24" x14ac:dyDescent="0.25">
      <c r="A97" s="1">
        <v>173107</v>
      </c>
      <c r="B97" s="74"/>
      <c r="C97" s="58"/>
      <c r="D97" s="58"/>
      <c r="E97" s="62" t="s">
        <v>99</v>
      </c>
      <c r="F97" s="75"/>
      <c r="G97" s="41">
        <v>500000</v>
      </c>
      <c r="H97" s="49">
        <v>4406191</v>
      </c>
      <c r="I97" s="42">
        <f t="shared" si="2"/>
        <v>-3906191</v>
      </c>
      <c r="J97" s="43">
        <f t="shared" si="3"/>
        <v>0</v>
      </c>
      <c r="K97" s="45"/>
      <c r="L97" s="45"/>
      <c r="Q97"/>
    </row>
    <row r="98" spans="1:24" ht="12.75" hidden="1" customHeight="1" x14ac:dyDescent="0.25">
      <c r="A98" s="1"/>
      <c r="B98" s="74"/>
      <c r="C98" s="58"/>
      <c r="D98" s="58"/>
      <c r="E98" s="62" t="s">
        <v>100</v>
      </c>
      <c r="F98" s="75"/>
      <c r="G98" s="41"/>
      <c r="H98" s="49"/>
      <c r="I98" s="42">
        <f t="shared" si="2"/>
        <v>0</v>
      </c>
      <c r="J98" s="43">
        <f t="shared" si="3"/>
        <v>0</v>
      </c>
      <c r="K98" s="45"/>
      <c r="L98" s="45"/>
      <c r="Q98"/>
    </row>
    <row r="99" spans="1:24" ht="12.75" hidden="1" customHeight="1" x14ac:dyDescent="0.25">
      <c r="A99" s="1"/>
      <c r="B99" s="74"/>
      <c r="C99" s="58"/>
      <c r="D99" s="58"/>
      <c r="E99" s="62" t="s">
        <v>101</v>
      </c>
      <c r="F99" s="75"/>
      <c r="G99" s="41"/>
      <c r="H99" s="49"/>
      <c r="I99" s="42">
        <f t="shared" si="2"/>
        <v>0</v>
      </c>
      <c r="J99" s="43">
        <f t="shared" si="3"/>
        <v>0</v>
      </c>
      <c r="K99" s="45"/>
      <c r="L99" s="45"/>
      <c r="Q99"/>
    </row>
    <row r="100" spans="1:24" ht="12.75" hidden="1" customHeight="1" x14ac:dyDescent="0.25">
      <c r="A100" s="1"/>
      <c r="B100" s="74"/>
      <c r="C100" s="58"/>
      <c r="D100" s="58"/>
      <c r="E100" s="62" t="s">
        <v>102</v>
      </c>
      <c r="F100" s="75"/>
      <c r="G100" s="41"/>
      <c r="H100" s="49"/>
      <c r="I100" s="42">
        <f t="shared" si="2"/>
        <v>0</v>
      </c>
      <c r="J100" s="43">
        <f t="shared" si="3"/>
        <v>0</v>
      </c>
      <c r="K100" s="45"/>
      <c r="L100" s="45"/>
      <c r="Q100"/>
    </row>
    <row r="101" spans="1:24" x14ac:dyDescent="0.25">
      <c r="A101" s="1">
        <v>173108</v>
      </c>
      <c r="B101" s="74"/>
      <c r="C101" s="58"/>
      <c r="D101" s="58"/>
      <c r="E101" s="62" t="s">
        <v>103</v>
      </c>
      <c r="F101" s="75"/>
      <c r="G101" s="76">
        <v>520000</v>
      </c>
      <c r="H101" s="49">
        <v>553808</v>
      </c>
      <c r="I101" s="42">
        <f t="shared" si="2"/>
        <v>-33808</v>
      </c>
      <c r="J101" s="43">
        <f t="shared" si="3"/>
        <v>0</v>
      </c>
      <c r="K101" s="45"/>
      <c r="L101" s="45"/>
      <c r="Q101"/>
    </row>
    <row r="102" spans="1:24" ht="12.75" hidden="1" customHeight="1" x14ac:dyDescent="0.25">
      <c r="A102" s="1"/>
      <c r="B102" s="74"/>
      <c r="C102" s="58"/>
      <c r="D102" s="58"/>
      <c r="E102" s="62" t="s">
        <v>104</v>
      </c>
      <c r="F102" s="75"/>
      <c r="G102" s="41"/>
      <c r="H102" s="49"/>
      <c r="I102" s="42">
        <f t="shared" si="2"/>
        <v>0</v>
      </c>
      <c r="J102" s="43">
        <f t="shared" si="3"/>
        <v>0</v>
      </c>
      <c r="K102" s="45"/>
      <c r="L102" s="45"/>
      <c r="Q102"/>
    </row>
    <row r="103" spans="1:24" ht="12.75" hidden="1" customHeight="1" x14ac:dyDescent="0.25">
      <c r="A103" s="1"/>
      <c r="B103" s="74"/>
      <c r="C103" s="58"/>
      <c r="D103" s="58"/>
      <c r="E103" s="62" t="s">
        <v>105</v>
      </c>
      <c r="F103" s="75"/>
      <c r="G103" s="41"/>
      <c r="H103" s="49"/>
      <c r="I103" s="42">
        <f t="shared" si="2"/>
        <v>0</v>
      </c>
      <c r="J103" s="43">
        <f t="shared" si="3"/>
        <v>0</v>
      </c>
      <c r="K103" s="45"/>
      <c r="L103" s="45"/>
      <c r="Q103"/>
    </row>
    <row r="104" spans="1:24" ht="12.75" hidden="1" customHeight="1" x14ac:dyDescent="0.25">
      <c r="A104" s="1"/>
      <c r="B104" s="74"/>
      <c r="C104" s="58"/>
      <c r="D104" s="58"/>
      <c r="E104" s="62" t="s">
        <v>106</v>
      </c>
      <c r="F104" s="75"/>
      <c r="G104" s="41"/>
      <c r="H104" s="49"/>
      <c r="I104" s="42">
        <f t="shared" si="2"/>
        <v>0</v>
      </c>
      <c r="J104" s="43">
        <f t="shared" si="3"/>
        <v>0</v>
      </c>
      <c r="K104" s="45"/>
      <c r="L104" s="45"/>
      <c r="Q104"/>
    </row>
    <row r="105" spans="1:24" x14ac:dyDescent="0.25">
      <c r="A105" s="1">
        <v>173109</v>
      </c>
      <c r="B105" s="74"/>
      <c r="C105" s="58"/>
      <c r="D105" s="58"/>
      <c r="E105" s="62" t="s">
        <v>107</v>
      </c>
      <c r="F105" s="75"/>
      <c r="G105" s="41">
        <f>300000*1.3</f>
        <v>390000</v>
      </c>
      <c r="H105" s="49">
        <v>68447.14</v>
      </c>
      <c r="I105" s="42">
        <f t="shared" si="2"/>
        <v>0</v>
      </c>
      <c r="J105" s="43">
        <f t="shared" si="3"/>
        <v>321552.86</v>
      </c>
      <c r="K105" s="45"/>
      <c r="L105" s="45"/>
      <c r="Q105"/>
    </row>
    <row r="106" spans="1:24" s="83" customFormat="1" x14ac:dyDescent="0.25">
      <c r="A106" s="77">
        <v>173110</v>
      </c>
      <c r="B106" s="78"/>
      <c r="C106" s="79"/>
      <c r="D106" s="79"/>
      <c r="E106" s="80" t="s">
        <v>108</v>
      </c>
      <c r="F106" s="81"/>
      <c r="G106" s="41">
        <f>14100000*2*1.3+1500000</f>
        <v>38160000</v>
      </c>
      <c r="H106" s="49">
        <v>63124775.5</v>
      </c>
      <c r="I106" s="42">
        <f t="shared" si="2"/>
        <v>-24964775.5</v>
      </c>
      <c r="J106" s="43">
        <f t="shared" si="3"/>
        <v>0</v>
      </c>
      <c r="K106" s="82"/>
      <c r="L106" s="82"/>
      <c r="Q106" s="84"/>
    </row>
    <row r="107" spans="1:24" s="69" customFormat="1" ht="15" customHeight="1" x14ac:dyDescent="0.25">
      <c r="A107" s="1"/>
      <c r="B107" s="57" t="s">
        <v>109</v>
      </c>
      <c r="C107" s="58"/>
      <c r="D107" s="58"/>
      <c r="E107" s="58"/>
      <c r="F107" s="75"/>
      <c r="G107" s="41">
        <f>+G108+G145+G166+G205</f>
        <v>310446241.94</v>
      </c>
      <c r="H107" s="41">
        <f>+H108+H145+H166+H205</f>
        <v>469705308.14000005</v>
      </c>
      <c r="I107" s="42">
        <f t="shared" si="2"/>
        <v>-159259066.20000005</v>
      </c>
      <c r="J107" s="43">
        <f t="shared" si="3"/>
        <v>0</v>
      </c>
      <c r="K107" s="85"/>
      <c r="L107" s="85"/>
      <c r="M107" s="70"/>
      <c r="N107" s="70"/>
      <c r="O107" s="70"/>
      <c r="P107" s="86"/>
      <c r="Q107" s="86"/>
      <c r="R107" s="86"/>
      <c r="S107" s="86"/>
      <c r="T107" s="86"/>
      <c r="U107" s="86"/>
      <c r="V107" s="86"/>
      <c r="W107" s="86"/>
      <c r="X107" s="86"/>
    </row>
    <row r="108" spans="1:24" ht="15.75" customHeight="1" x14ac:dyDescent="0.25">
      <c r="A108" s="1">
        <v>4</v>
      </c>
      <c r="B108" s="57"/>
      <c r="C108" s="58"/>
      <c r="D108" s="58" t="s">
        <v>110</v>
      </c>
      <c r="E108" s="58"/>
      <c r="F108" s="61"/>
      <c r="G108" s="41">
        <f>+G109+G119+G129</f>
        <v>256225141.94</v>
      </c>
      <c r="H108" s="41">
        <f>+H109+H119+H129</f>
        <v>315506221.46000004</v>
      </c>
      <c r="I108" s="42">
        <f t="shared" si="2"/>
        <v>-59281079.520000041</v>
      </c>
      <c r="J108" s="43">
        <f t="shared" si="3"/>
        <v>0</v>
      </c>
      <c r="K108" s="44"/>
      <c r="L108" s="44"/>
      <c r="M108" s="7"/>
      <c r="N108" s="7"/>
      <c r="O108" s="7"/>
      <c r="P108" s="7"/>
      <c r="R108" s="7"/>
      <c r="S108" s="7"/>
      <c r="T108" s="7"/>
      <c r="U108" s="7"/>
      <c r="V108" s="7"/>
      <c r="W108" s="7"/>
      <c r="X108" s="87"/>
    </row>
    <row r="109" spans="1:24" ht="15.75" customHeight="1" x14ac:dyDescent="0.25">
      <c r="A109" s="1">
        <v>411</v>
      </c>
      <c r="B109" s="57"/>
      <c r="C109" s="58"/>
      <c r="D109" s="58"/>
      <c r="E109" s="60" t="s">
        <v>111</v>
      </c>
      <c r="F109" s="61"/>
      <c r="G109" s="41">
        <f>+G110+G111+G112+G113+G114+G115+G116+G117+G118</f>
        <v>146194116.03</v>
      </c>
      <c r="H109" s="41">
        <f>+H110+H111+H112+H113+H114+H115+H116+H117+H118</f>
        <v>189742985.46000001</v>
      </c>
      <c r="I109" s="42">
        <f t="shared" si="2"/>
        <v>-43548869.430000007</v>
      </c>
      <c r="J109" s="43">
        <f t="shared" si="3"/>
        <v>0</v>
      </c>
      <c r="K109" s="88"/>
      <c r="L109" s="88"/>
      <c r="M109" s="89"/>
      <c r="N109" s="89"/>
      <c r="O109" s="89"/>
      <c r="P109" s="89"/>
      <c r="Q109" s="89"/>
      <c r="R109" s="89"/>
      <c r="S109" s="89"/>
      <c r="T109" s="89"/>
      <c r="U109" s="89"/>
      <c r="V109" s="89"/>
      <c r="W109" s="89"/>
      <c r="X109" s="7"/>
    </row>
    <row r="110" spans="1:24" ht="15.75" customHeight="1" x14ac:dyDescent="0.25">
      <c r="A110" s="1">
        <v>4111</v>
      </c>
      <c r="B110" s="57"/>
      <c r="C110" s="58"/>
      <c r="D110" s="58"/>
      <c r="E110" s="62" t="s">
        <v>112</v>
      </c>
      <c r="F110" s="61"/>
      <c r="G110" s="41">
        <v>34092699.729999997</v>
      </c>
      <c r="H110" s="49">
        <v>42805921.579999998</v>
      </c>
      <c r="I110" s="42">
        <f t="shared" si="2"/>
        <v>-8713221.8500000015</v>
      </c>
      <c r="J110" s="43">
        <f t="shared" si="3"/>
        <v>0</v>
      </c>
      <c r="K110" s="88"/>
      <c r="L110" s="88"/>
      <c r="M110" s="89"/>
      <c r="N110" s="89"/>
      <c r="O110" s="89"/>
      <c r="P110" s="90"/>
      <c r="Q110" s="89"/>
      <c r="R110" s="89"/>
      <c r="S110" s="89"/>
      <c r="T110" s="89"/>
      <c r="U110" s="89"/>
      <c r="V110" s="89"/>
      <c r="W110" s="90"/>
      <c r="X110" s="7"/>
    </row>
    <row r="111" spans="1:24" ht="15.75" customHeight="1" x14ac:dyDescent="0.25">
      <c r="A111" s="1">
        <v>4112</v>
      </c>
      <c r="B111" s="57"/>
      <c r="C111" s="58"/>
      <c r="D111" s="58"/>
      <c r="E111" s="62" t="s">
        <v>113</v>
      </c>
      <c r="F111" s="61"/>
      <c r="G111" s="41">
        <v>73313842.840000004</v>
      </c>
      <c r="H111" s="49">
        <v>93527721.260000005</v>
      </c>
      <c r="I111" s="42">
        <f t="shared" si="2"/>
        <v>-20213878.420000002</v>
      </c>
      <c r="J111" s="43">
        <f t="shared" si="3"/>
        <v>0</v>
      </c>
      <c r="K111" s="88"/>
      <c r="L111" s="88"/>
      <c r="M111" s="89"/>
      <c r="N111" s="89"/>
      <c r="O111" s="89"/>
      <c r="P111" s="90"/>
      <c r="Q111" s="89"/>
      <c r="R111" s="89"/>
      <c r="S111" s="89"/>
      <c r="T111" s="89"/>
      <c r="U111" s="89"/>
      <c r="V111" s="89"/>
      <c r="W111" s="90"/>
      <c r="X111" s="7"/>
    </row>
    <row r="112" spans="1:24" ht="15.75" customHeight="1" x14ac:dyDescent="0.25">
      <c r="A112" s="1">
        <v>4113</v>
      </c>
      <c r="B112" s="57"/>
      <c r="C112" s="58"/>
      <c r="D112" s="58"/>
      <c r="E112" s="62" t="s">
        <v>114</v>
      </c>
      <c r="F112" s="61"/>
      <c r="G112" s="41">
        <v>8950545.2100000009</v>
      </c>
      <c r="H112" s="49">
        <v>13612286.98</v>
      </c>
      <c r="I112" s="42">
        <f t="shared" si="2"/>
        <v>-4661741.7699999996</v>
      </c>
      <c r="J112" s="43">
        <f t="shared" si="3"/>
        <v>0</v>
      </c>
      <c r="K112" s="88"/>
      <c r="L112" s="88"/>
      <c r="M112" s="89"/>
      <c r="N112" s="89"/>
      <c r="O112" s="89"/>
      <c r="P112" s="90"/>
      <c r="Q112" s="89"/>
      <c r="R112" s="89"/>
      <c r="S112" s="89"/>
      <c r="T112" s="89"/>
      <c r="U112" s="89"/>
      <c r="V112" s="89"/>
      <c r="W112" s="90"/>
      <c r="X112" s="7"/>
    </row>
    <row r="113" spans="1:24" ht="15.75" customHeight="1" x14ac:dyDescent="0.25">
      <c r="A113" s="1">
        <v>4114</v>
      </c>
      <c r="B113" s="57"/>
      <c r="C113" s="58"/>
      <c r="D113" s="58"/>
      <c r="E113" s="62" t="s">
        <v>115</v>
      </c>
      <c r="F113" s="61"/>
      <c r="G113" s="41">
        <v>1102219.53</v>
      </c>
      <c r="H113" s="49">
        <v>3240924.28</v>
      </c>
      <c r="I113" s="42">
        <f t="shared" si="2"/>
        <v>-2138704.75</v>
      </c>
      <c r="J113" s="43">
        <f t="shared" si="3"/>
        <v>0</v>
      </c>
      <c r="K113" s="88"/>
      <c r="L113" s="88"/>
      <c r="M113" s="89"/>
      <c r="N113" s="89"/>
      <c r="O113" s="89"/>
      <c r="Q113" s="89"/>
      <c r="R113" s="89"/>
      <c r="S113" s="89"/>
      <c r="T113" s="89"/>
      <c r="U113" s="89"/>
      <c r="V113" s="89"/>
      <c r="X113" s="7"/>
    </row>
    <row r="114" spans="1:24" ht="15.75" customHeight="1" x14ac:dyDescent="0.25">
      <c r="A114" s="1">
        <v>4115</v>
      </c>
      <c r="B114" s="57"/>
      <c r="C114" s="58"/>
      <c r="D114" s="58"/>
      <c r="E114" s="62" t="s">
        <v>116</v>
      </c>
      <c r="F114" s="61"/>
      <c r="G114" s="41">
        <v>25805032.289999999</v>
      </c>
      <c r="H114" s="49">
        <v>32706511.34</v>
      </c>
      <c r="I114" s="42">
        <f t="shared" si="2"/>
        <v>-6901479.0500000007</v>
      </c>
      <c r="J114" s="43">
        <f t="shared" si="3"/>
        <v>0</v>
      </c>
      <c r="K114" s="88"/>
      <c r="L114" s="88"/>
      <c r="M114" s="89"/>
      <c r="N114" s="89"/>
      <c r="O114" s="89"/>
      <c r="P114" s="89"/>
      <c r="Q114" s="89"/>
      <c r="R114" s="89"/>
      <c r="S114" s="89"/>
      <c r="T114" s="89"/>
      <c r="U114" s="89"/>
      <c r="V114" s="89"/>
      <c r="W114" s="89"/>
      <c r="X114" s="7"/>
    </row>
    <row r="115" spans="1:24" ht="15.75" customHeight="1" x14ac:dyDescent="0.25">
      <c r="A115" s="1">
        <v>4116</v>
      </c>
      <c r="B115" s="57"/>
      <c r="C115" s="58"/>
      <c r="D115" s="58"/>
      <c r="E115" s="62" t="s">
        <v>117</v>
      </c>
      <c r="F115" s="61"/>
      <c r="G115" s="41">
        <v>2929776.43</v>
      </c>
      <c r="H115" s="49">
        <f>3590420.6+259199.42</f>
        <v>3849620.02</v>
      </c>
      <c r="I115" s="42">
        <f t="shared" si="2"/>
        <v>-919843.58999999985</v>
      </c>
      <c r="J115" s="43">
        <f t="shared" si="3"/>
        <v>0</v>
      </c>
      <c r="K115" s="88"/>
      <c r="L115" s="88"/>
      <c r="M115" s="89"/>
      <c r="N115" s="89"/>
      <c r="O115" s="89"/>
      <c r="P115" s="90"/>
      <c r="Q115" s="89"/>
      <c r="R115" s="89"/>
      <c r="S115" s="89"/>
      <c r="T115" s="89"/>
      <c r="U115" s="89"/>
      <c r="V115" s="89"/>
      <c r="W115" s="90"/>
      <c r="X115" s="7"/>
    </row>
    <row r="116" spans="1:24" ht="15.75" hidden="1" customHeight="1" x14ac:dyDescent="0.25">
      <c r="A116" s="1"/>
      <c r="B116" s="57"/>
      <c r="C116" s="58"/>
      <c r="D116" s="58"/>
      <c r="E116" s="62" t="s">
        <v>118</v>
      </c>
      <c r="F116" s="61"/>
      <c r="G116" s="41"/>
      <c r="H116" s="91"/>
      <c r="I116" s="42">
        <f t="shared" si="2"/>
        <v>0</v>
      </c>
      <c r="J116" s="43">
        <f t="shared" si="3"/>
        <v>0</v>
      </c>
      <c r="K116" s="92"/>
      <c r="L116" s="92"/>
      <c r="T116" s="89"/>
      <c r="X116" s="7"/>
    </row>
    <row r="117" spans="1:24" ht="15.75" hidden="1" customHeight="1" x14ac:dyDescent="0.25">
      <c r="A117" s="1"/>
      <c r="B117" s="57"/>
      <c r="C117" s="58"/>
      <c r="D117" s="58"/>
      <c r="E117" s="62" t="s">
        <v>119</v>
      </c>
      <c r="F117" s="61"/>
      <c r="G117" s="41"/>
      <c r="H117" s="91"/>
      <c r="I117" s="42">
        <f t="shared" si="2"/>
        <v>0</v>
      </c>
      <c r="J117" s="43">
        <f t="shared" si="3"/>
        <v>0</v>
      </c>
      <c r="K117" s="45"/>
      <c r="L117" s="45"/>
      <c r="T117" s="89"/>
      <c r="X117" s="7"/>
    </row>
    <row r="118" spans="1:24" ht="15.75" hidden="1" customHeight="1" x14ac:dyDescent="0.25">
      <c r="A118" s="1"/>
      <c r="B118" s="57"/>
      <c r="C118" s="58"/>
      <c r="D118" s="58"/>
      <c r="E118" s="62" t="s">
        <v>120</v>
      </c>
      <c r="F118" s="61"/>
      <c r="G118" s="41">
        <v>0</v>
      </c>
      <c r="H118" s="91"/>
      <c r="I118" s="42">
        <f t="shared" si="2"/>
        <v>0</v>
      </c>
      <c r="J118" s="43">
        <f t="shared" si="3"/>
        <v>0</v>
      </c>
      <c r="K118" s="45"/>
      <c r="L118" s="45"/>
      <c r="T118" s="89"/>
      <c r="X118" s="7"/>
    </row>
    <row r="119" spans="1:24" ht="15.75" customHeight="1" x14ac:dyDescent="0.25">
      <c r="A119" s="1">
        <v>412</v>
      </c>
      <c r="B119" s="57"/>
      <c r="C119" s="58"/>
      <c r="D119" s="58"/>
      <c r="E119" s="60" t="s">
        <v>121</v>
      </c>
      <c r="F119" s="61"/>
      <c r="G119" s="41">
        <f>+G120+G121</f>
        <v>45574315.039999999</v>
      </c>
      <c r="H119" s="41">
        <f>+H120+H121</f>
        <v>47764336.019999996</v>
      </c>
      <c r="I119" s="42">
        <f t="shared" si="2"/>
        <v>-2190020.9799999967</v>
      </c>
      <c r="J119" s="43">
        <f t="shared" si="3"/>
        <v>0</v>
      </c>
      <c r="K119" s="44"/>
      <c r="L119" s="44"/>
      <c r="M119" s="7"/>
      <c r="N119" s="7"/>
      <c r="O119" s="7"/>
      <c r="P119" s="7"/>
      <c r="R119" s="7"/>
      <c r="S119" s="7"/>
      <c r="T119" s="89"/>
      <c r="U119" s="7"/>
      <c r="V119" s="7"/>
      <c r="W119" s="7"/>
      <c r="X119" s="7"/>
    </row>
    <row r="120" spans="1:24" ht="15.75" customHeight="1" x14ac:dyDescent="0.25">
      <c r="A120" s="1">
        <v>4123</v>
      </c>
      <c r="B120" s="57"/>
      <c r="C120" s="58"/>
      <c r="D120" s="58"/>
      <c r="E120" s="80" t="s">
        <v>122</v>
      </c>
      <c r="F120" s="61"/>
      <c r="G120" s="41">
        <v>600000</v>
      </c>
      <c r="H120" s="49">
        <v>135000</v>
      </c>
      <c r="I120" s="42">
        <f t="shared" si="2"/>
        <v>0</v>
      </c>
      <c r="J120" s="43">
        <f t="shared" si="3"/>
        <v>465000</v>
      </c>
      <c r="K120" s="45"/>
      <c r="L120" s="45"/>
      <c r="X120" s="7"/>
    </row>
    <row r="121" spans="1:24" ht="15.75" customHeight="1" x14ac:dyDescent="0.25">
      <c r="A121" s="1">
        <v>41234</v>
      </c>
      <c r="B121" s="57"/>
      <c r="C121" s="58"/>
      <c r="D121" s="58"/>
      <c r="E121" s="62" t="s">
        <v>123</v>
      </c>
      <c r="F121" s="61"/>
      <c r="G121" s="76">
        <f>SUM(G122:G128)</f>
        <v>44974315.039999999</v>
      </c>
      <c r="H121" s="76">
        <f>SUM(H122:H128)</f>
        <v>47629336.019999996</v>
      </c>
      <c r="I121" s="42">
        <f t="shared" si="2"/>
        <v>-2655020.9799999967</v>
      </c>
      <c r="J121" s="43">
        <f t="shared" si="3"/>
        <v>0</v>
      </c>
      <c r="K121" s="44"/>
      <c r="L121" s="92"/>
      <c r="M121" s="90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7"/>
    </row>
    <row r="122" spans="1:24" ht="15.75" customHeight="1" x14ac:dyDescent="0.25">
      <c r="A122" s="1">
        <v>412341</v>
      </c>
      <c r="B122" s="57"/>
      <c r="C122" s="58"/>
      <c r="D122" s="58"/>
      <c r="E122" s="62" t="s">
        <v>124</v>
      </c>
      <c r="F122" s="61"/>
      <c r="G122" s="41">
        <v>13110440.619999999</v>
      </c>
      <c r="H122" s="49">
        <v>13552504.619999999</v>
      </c>
      <c r="I122" s="42">
        <f t="shared" si="2"/>
        <v>-442064</v>
      </c>
      <c r="J122" s="43">
        <f t="shared" si="3"/>
        <v>0</v>
      </c>
      <c r="K122" s="44"/>
      <c r="L122" s="44"/>
      <c r="M122" s="7"/>
      <c r="N122" s="7"/>
      <c r="O122" s="7"/>
      <c r="P122" s="90"/>
      <c r="R122" s="7"/>
      <c r="S122" s="7"/>
      <c r="T122" s="7"/>
      <c r="U122" s="7"/>
      <c r="V122" s="7"/>
      <c r="W122" s="90"/>
      <c r="X122" s="7"/>
    </row>
    <row r="123" spans="1:24" ht="15.75" customHeight="1" x14ac:dyDescent="0.25">
      <c r="A123" s="1">
        <v>412342</v>
      </c>
      <c r="B123" s="57"/>
      <c r="C123" s="58"/>
      <c r="D123" s="58"/>
      <c r="E123" s="62" t="s">
        <v>125</v>
      </c>
      <c r="F123" s="61"/>
      <c r="G123" s="41">
        <v>20297422.859999999</v>
      </c>
      <c r="H123" s="49">
        <v>22275197.07</v>
      </c>
      <c r="I123" s="42">
        <f t="shared" si="2"/>
        <v>-1977774.2100000009</v>
      </c>
      <c r="J123" s="43">
        <f t="shared" si="3"/>
        <v>0</v>
      </c>
      <c r="K123" s="44"/>
      <c r="L123" s="44"/>
      <c r="M123" s="7"/>
      <c r="N123" s="7"/>
      <c r="O123" s="7"/>
      <c r="P123" s="90"/>
      <c r="R123" s="7"/>
      <c r="S123" s="7"/>
      <c r="T123" s="7"/>
      <c r="U123" s="7"/>
      <c r="V123" s="7"/>
      <c r="W123" s="90"/>
      <c r="X123" s="7"/>
    </row>
    <row r="124" spans="1:24" ht="15.75" customHeight="1" x14ac:dyDescent="0.25">
      <c r="A124" s="1">
        <v>412343</v>
      </c>
      <c r="B124" s="57"/>
      <c r="C124" s="58"/>
      <c r="D124" s="58"/>
      <c r="E124" s="62" t="s">
        <v>126</v>
      </c>
      <c r="F124" s="61"/>
      <c r="G124" s="41">
        <v>2783988.62</v>
      </c>
      <c r="H124" s="49">
        <v>2156323.94</v>
      </c>
      <c r="I124" s="42">
        <f t="shared" si="2"/>
        <v>0</v>
      </c>
      <c r="J124" s="43">
        <f t="shared" si="3"/>
        <v>627664.68000000017</v>
      </c>
      <c r="K124" s="44"/>
      <c r="L124" s="44"/>
      <c r="M124" s="7"/>
      <c r="N124" s="7"/>
      <c r="O124" s="7"/>
      <c r="P124" s="90"/>
      <c r="R124" s="7"/>
      <c r="S124" s="7"/>
      <c r="T124" s="7"/>
      <c r="U124" s="7"/>
      <c r="V124" s="7"/>
      <c r="W124" s="90"/>
      <c r="X124" s="7"/>
    </row>
    <row r="125" spans="1:24" ht="15.75" customHeight="1" x14ac:dyDescent="0.25">
      <c r="A125" s="1">
        <v>412344</v>
      </c>
      <c r="B125" s="57"/>
      <c r="C125" s="58"/>
      <c r="D125" s="58"/>
      <c r="E125" s="62" t="s">
        <v>127</v>
      </c>
      <c r="F125" s="61"/>
      <c r="G125" s="41">
        <v>253125</v>
      </c>
      <c r="H125" s="49">
        <v>445253.6</v>
      </c>
      <c r="I125" s="42">
        <f t="shared" si="2"/>
        <v>-192128.59999999998</v>
      </c>
      <c r="J125" s="43">
        <f t="shared" si="3"/>
        <v>0</v>
      </c>
      <c r="K125" s="44"/>
      <c r="L125" s="44"/>
      <c r="M125" s="7"/>
      <c r="N125" s="7"/>
      <c r="O125" s="7"/>
      <c r="R125" s="7"/>
      <c r="S125" s="7"/>
      <c r="T125" s="7"/>
      <c r="U125" s="7"/>
      <c r="V125" s="7"/>
      <c r="X125" s="7"/>
    </row>
    <row r="126" spans="1:24" ht="15.75" customHeight="1" x14ac:dyDescent="0.25">
      <c r="A126" s="1">
        <v>412345</v>
      </c>
      <c r="B126" s="57"/>
      <c r="C126" s="58"/>
      <c r="D126" s="58"/>
      <c r="E126" s="62" t="s">
        <v>128</v>
      </c>
      <c r="F126" s="61"/>
      <c r="G126" s="41">
        <v>7629309.7300000004</v>
      </c>
      <c r="H126" s="49">
        <v>8199709.71</v>
      </c>
      <c r="I126" s="42">
        <f t="shared" si="2"/>
        <v>-570399.97999999952</v>
      </c>
      <c r="J126" s="43">
        <f t="shared" si="3"/>
        <v>0</v>
      </c>
      <c r="K126" s="44"/>
      <c r="L126" s="44"/>
      <c r="M126" s="7"/>
      <c r="N126" s="7"/>
      <c r="O126" s="7"/>
      <c r="P126" s="90"/>
      <c r="R126" s="7"/>
      <c r="S126" s="7"/>
      <c r="T126" s="7"/>
      <c r="U126" s="7"/>
      <c r="V126" s="7"/>
      <c r="W126" s="90"/>
      <c r="X126" s="7"/>
    </row>
    <row r="127" spans="1:24" ht="15.75" customHeight="1" x14ac:dyDescent="0.25">
      <c r="A127" s="1">
        <v>412346</v>
      </c>
      <c r="B127" s="57"/>
      <c r="C127" s="58"/>
      <c r="D127" s="58"/>
      <c r="E127" s="62" t="s">
        <v>129</v>
      </c>
      <c r="F127" s="61"/>
      <c r="G127" s="41">
        <v>900028.21</v>
      </c>
      <c r="H127" s="49">
        <v>1000347.08</v>
      </c>
      <c r="I127" s="42">
        <f t="shared" si="2"/>
        <v>-100318.87</v>
      </c>
      <c r="J127" s="43">
        <f t="shared" si="3"/>
        <v>0</v>
      </c>
      <c r="K127" s="44"/>
      <c r="L127" s="44"/>
      <c r="M127" s="7"/>
      <c r="N127" s="7"/>
      <c r="O127" s="7"/>
      <c r="P127" s="7"/>
      <c r="R127" s="7"/>
      <c r="S127" s="7"/>
      <c r="T127" s="7"/>
      <c r="U127" s="7"/>
      <c r="V127" s="7"/>
      <c r="W127" s="7"/>
      <c r="X127" s="7"/>
    </row>
    <row r="128" spans="1:24" ht="15.75" hidden="1" customHeight="1" x14ac:dyDescent="0.25">
      <c r="A128" s="1"/>
      <c r="B128" s="57"/>
      <c r="C128" s="58"/>
      <c r="D128" s="58"/>
      <c r="E128" s="62" t="s">
        <v>130</v>
      </c>
      <c r="F128" s="61"/>
      <c r="G128" s="63">
        <v>0</v>
      </c>
      <c r="H128" s="91"/>
      <c r="I128" s="42">
        <f t="shared" si="2"/>
        <v>0</v>
      </c>
      <c r="J128" s="43">
        <f t="shared" si="3"/>
        <v>0</v>
      </c>
      <c r="K128" s="45"/>
      <c r="L128" s="45"/>
      <c r="X128" s="7"/>
    </row>
    <row r="129" spans="1:24" ht="15.75" customHeight="1" x14ac:dyDescent="0.25">
      <c r="A129" s="1">
        <v>413</v>
      </c>
      <c r="B129" s="57"/>
      <c r="C129" s="58"/>
      <c r="D129" s="58"/>
      <c r="E129" s="60" t="s">
        <v>131</v>
      </c>
      <c r="F129" s="61"/>
      <c r="G129" s="41">
        <f>+G130+G137</f>
        <v>64456710.869999997</v>
      </c>
      <c r="H129" s="41">
        <f>+H130+H137</f>
        <v>77998899.979999989</v>
      </c>
      <c r="I129" s="42">
        <f t="shared" si="2"/>
        <v>-13542189.109999992</v>
      </c>
      <c r="J129" s="43">
        <f t="shared" si="3"/>
        <v>0</v>
      </c>
      <c r="K129" s="44"/>
      <c r="L129" s="44"/>
      <c r="M129" s="7"/>
      <c r="N129" s="7"/>
      <c r="O129" s="7"/>
      <c r="P129" s="7"/>
      <c r="R129" s="7"/>
      <c r="S129" s="7"/>
      <c r="T129" s="7"/>
      <c r="U129" s="7"/>
      <c r="V129" s="7"/>
      <c r="X129" s="7"/>
    </row>
    <row r="130" spans="1:24" ht="15.75" hidden="1" customHeight="1" x14ac:dyDescent="0.25">
      <c r="A130" s="1"/>
      <c r="B130" s="57"/>
      <c r="C130" s="58"/>
      <c r="D130" s="58"/>
      <c r="E130" s="62" t="s">
        <v>132</v>
      </c>
      <c r="F130" s="61"/>
      <c r="G130" s="41"/>
      <c r="H130" s="41"/>
      <c r="I130" s="42">
        <f t="shared" si="2"/>
        <v>0</v>
      </c>
      <c r="J130" s="43">
        <f t="shared" si="3"/>
        <v>0</v>
      </c>
      <c r="K130" s="45"/>
      <c r="L130" s="45"/>
      <c r="X130" s="7"/>
    </row>
    <row r="131" spans="1:24" ht="15.75" hidden="1" customHeight="1" x14ac:dyDescent="0.25">
      <c r="A131" s="1"/>
      <c r="B131" s="57"/>
      <c r="C131" s="58"/>
      <c r="D131" s="58"/>
      <c r="E131" s="62" t="s">
        <v>124</v>
      </c>
      <c r="F131" s="61"/>
      <c r="G131" s="41"/>
      <c r="H131" s="41"/>
      <c r="I131" s="42">
        <f t="shared" si="2"/>
        <v>0</v>
      </c>
      <c r="J131" s="43">
        <f t="shared" si="3"/>
        <v>0</v>
      </c>
      <c r="K131" s="45"/>
      <c r="L131" s="45"/>
      <c r="X131" s="7"/>
    </row>
    <row r="132" spans="1:24" ht="15.75" hidden="1" customHeight="1" x14ac:dyDescent="0.25">
      <c r="A132" s="1"/>
      <c r="B132" s="57"/>
      <c r="C132" s="58"/>
      <c r="D132" s="58"/>
      <c r="E132" s="62" t="s">
        <v>125</v>
      </c>
      <c r="F132" s="61"/>
      <c r="G132" s="41"/>
      <c r="H132" s="41"/>
      <c r="I132" s="42">
        <f t="shared" si="2"/>
        <v>0</v>
      </c>
      <c r="J132" s="43">
        <f t="shared" si="3"/>
        <v>0</v>
      </c>
      <c r="K132" s="45"/>
      <c r="L132" s="45"/>
      <c r="X132" s="7"/>
    </row>
    <row r="133" spans="1:24" ht="15.75" hidden="1" customHeight="1" x14ac:dyDescent="0.25">
      <c r="A133" s="1"/>
      <c r="B133" s="57"/>
      <c r="C133" s="58"/>
      <c r="D133" s="58"/>
      <c r="E133" s="62" t="s">
        <v>126</v>
      </c>
      <c r="F133" s="61"/>
      <c r="G133" s="41"/>
      <c r="H133" s="41"/>
      <c r="I133" s="42">
        <f t="shared" si="2"/>
        <v>0</v>
      </c>
      <c r="J133" s="43">
        <f t="shared" si="3"/>
        <v>0</v>
      </c>
      <c r="K133" s="45"/>
      <c r="L133" s="45"/>
      <c r="X133" s="7"/>
    </row>
    <row r="134" spans="1:24" ht="15.75" hidden="1" customHeight="1" x14ac:dyDescent="0.25">
      <c r="A134" s="1"/>
      <c r="B134" s="57"/>
      <c r="C134" s="58"/>
      <c r="D134" s="58"/>
      <c r="E134" s="62" t="s">
        <v>127</v>
      </c>
      <c r="F134" s="61"/>
      <c r="G134" s="41"/>
      <c r="H134" s="41"/>
      <c r="I134" s="42">
        <f t="shared" ref="I134:I198" si="4">IF(G134&gt;H134,0,G134-H134)</f>
        <v>0</v>
      </c>
      <c r="J134" s="43">
        <f t="shared" ref="J134:J198" si="5">IF(G134&lt;H134,0,G134-H134)</f>
        <v>0</v>
      </c>
      <c r="K134" s="45"/>
      <c r="L134" s="45"/>
      <c r="X134" s="7"/>
    </row>
    <row r="135" spans="1:24" ht="15.75" hidden="1" customHeight="1" x14ac:dyDescent="0.25">
      <c r="A135" s="1"/>
      <c r="B135" s="57"/>
      <c r="C135" s="58"/>
      <c r="D135" s="58"/>
      <c r="E135" s="62" t="s">
        <v>128</v>
      </c>
      <c r="F135" s="61"/>
      <c r="G135" s="41"/>
      <c r="H135" s="41"/>
      <c r="I135" s="42">
        <f t="shared" si="4"/>
        <v>0</v>
      </c>
      <c r="J135" s="43">
        <f t="shared" si="5"/>
        <v>0</v>
      </c>
      <c r="K135" s="45"/>
      <c r="L135" s="45"/>
      <c r="X135" s="7"/>
    </row>
    <row r="136" spans="1:24" ht="15.75" hidden="1" customHeight="1" x14ac:dyDescent="0.25">
      <c r="A136" s="1"/>
      <c r="B136" s="57"/>
      <c r="C136" s="58"/>
      <c r="D136" s="58"/>
      <c r="E136" s="62" t="s">
        <v>129</v>
      </c>
      <c r="F136" s="61"/>
      <c r="G136" s="41"/>
      <c r="H136" s="41"/>
      <c r="I136" s="42">
        <f t="shared" si="4"/>
        <v>0</v>
      </c>
      <c r="J136" s="43">
        <f t="shared" si="5"/>
        <v>0</v>
      </c>
      <c r="K136" s="45"/>
      <c r="L136" s="45"/>
      <c r="X136" s="7"/>
    </row>
    <row r="137" spans="1:24" ht="15.75" customHeight="1" x14ac:dyDescent="0.25">
      <c r="A137" s="1"/>
      <c r="B137" s="57"/>
      <c r="C137" s="58"/>
      <c r="D137" s="58"/>
      <c r="E137" s="62" t="s">
        <v>133</v>
      </c>
      <c r="F137" s="61"/>
      <c r="G137" s="41">
        <f>SUM(G138:G144)</f>
        <v>64456710.869999997</v>
      </c>
      <c r="H137" s="41">
        <f>SUM(H138:H144)</f>
        <v>77998899.979999989</v>
      </c>
      <c r="I137" s="42">
        <f t="shared" si="4"/>
        <v>-13542189.109999992</v>
      </c>
      <c r="J137" s="43">
        <f t="shared" si="5"/>
        <v>0</v>
      </c>
      <c r="K137" s="92"/>
      <c r="L137" s="92"/>
      <c r="M137" s="90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7"/>
    </row>
    <row r="138" spans="1:24" ht="15.75" customHeight="1" x14ac:dyDescent="0.25">
      <c r="A138" s="1">
        <v>4132</v>
      </c>
      <c r="B138" s="57"/>
      <c r="C138" s="58"/>
      <c r="D138" s="58"/>
      <c r="E138" s="62" t="s">
        <v>124</v>
      </c>
      <c r="F138" s="61"/>
      <c r="G138" s="41">
        <v>31121861.629999999</v>
      </c>
      <c r="H138" s="49">
        <v>36442899.32</v>
      </c>
      <c r="I138" s="42">
        <f t="shared" si="4"/>
        <v>-5321037.6900000013</v>
      </c>
      <c r="J138" s="43">
        <f t="shared" si="5"/>
        <v>0</v>
      </c>
      <c r="K138" s="44"/>
      <c r="L138" s="44"/>
      <c r="M138" s="7"/>
      <c r="N138" s="7"/>
      <c r="O138" s="7"/>
      <c r="P138" s="90"/>
      <c r="R138" s="7"/>
      <c r="S138" s="7"/>
      <c r="T138" s="7"/>
      <c r="U138" s="7"/>
      <c r="V138" s="7"/>
      <c r="W138" s="90"/>
      <c r="X138" s="7"/>
    </row>
    <row r="139" spans="1:24" ht="15.75" customHeight="1" x14ac:dyDescent="0.25">
      <c r="A139" s="1">
        <v>4133</v>
      </c>
      <c r="B139" s="57"/>
      <c r="C139" s="58"/>
      <c r="D139" s="58"/>
      <c r="E139" s="62" t="s">
        <v>125</v>
      </c>
      <c r="F139" s="61"/>
      <c r="G139" s="41">
        <v>16394569.619999999</v>
      </c>
      <c r="H139" s="49">
        <v>20739503.300000001</v>
      </c>
      <c r="I139" s="42">
        <f t="shared" si="4"/>
        <v>-4344933.6800000016</v>
      </c>
      <c r="J139" s="43">
        <f t="shared" si="5"/>
        <v>0</v>
      </c>
      <c r="K139" s="44"/>
      <c r="L139" s="44"/>
      <c r="M139" s="7"/>
      <c r="N139" s="7"/>
      <c r="O139" s="7"/>
      <c r="P139" s="90"/>
      <c r="R139" s="7"/>
      <c r="S139" s="7"/>
      <c r="T139" s="7"/>
      <c r="U139" s="7"/>
      <c r="V139" s="7"/>
      <c r="W139" s="90"/>
      <c r="X139" s="7"/>
    </row>
    <row r="140" spans="1:24" ht="15.75" customHeight="1" x14ac:dyDescent="0.25">
      <c r="A140" s="1">
        <v>4134</v>
      </c>
      <c r="B140" s="57"/>
      <c r="C140" s="58"/>
      <c r="D140" s="58"/>
      <c r="E140" s="62" t="s">
        <v>126</v>
      </c>
      <c r="F140" s="61"/>
      <c r="G140" s="41">
        <v>3959702.6</v>
      </c>
      <c r="H140" s="49">
        <v>5200532.2699999996</v>
      </c>
      <c r="I140" s="42">
        <f t="shared" si="4"/>
        <v>-1240829.6699999995</v>
      </c>
      <c r="J140" s="43">
        <f t="shared" si="5"/>
        <v>0</v>
      </c>
      <c r="K140" s="44"/>
      <c r="L140" s="44"/>
      <c r="M140" s="7"/>
      <c r="N140" s="7"/>
      <c r="O140" s="7"/>
      <c r="P140" s="90"/>
      <c r="R140" s="7"/>
      <c r="S140" s="7"/>
      <c r="T140" s="7"/>
      <c r="U140" s="7"/>
      <c r="V140" s="7"/>
      <c r="W140" s="90"/>
      <c r="X140" s="7"/>
    </row>
    <row r="141" spans="1:24" ht="15.75" customHeight="1" x14ac:dyDescent="0.25">
      <c r="A141" s="1">
        <v>4135</v>
      </c>
      <c r="B141" s="57"/>
      <c r="C141" s="58"/>
      <c r="D141" s="58"/>
      <c r="E141" s="62" t="s">
        <v>127</v>
      </c>
      <c r="F141" s="61"/>
      <c r="G141" s="41">
        <v>202781.64</v>
      </c>
      <c r="H141" s="49">
        <v>513413.36</v>
      </c>
      <c r="I141" s="42">
        <f t="shared" si="4"/>
        <v>-310631.71999999997</v>
      </c>
      <c r="J141" s="43">
        <f t="shared" si="5"/>
        <v>0</v>
      </c>
      <c r="K141" s="44"/>
      <c r="L141" s="44"/>
      <c r="M141" s="7"/>
      <c r="N141" s="7"/>
      <c r="O141" s="7"/>
      <c r="R141" s="7"/>
      <c r="S141" s="7"/>
      <c r="T141" s="7"/>
      <c r="U141" s="7"/>
      <c r="V141" s="7"/>
      <c r="X141" s="7"/>
    </row>
    <row r="142" spans="1:24" ht="15.75" customHeight="1" x14ac:dyDescent="0.25">
      <c r="A142" s="1">
        <v>4136</v>
      </c>
      <c r="B142" s="57"/>
      <c r="C142" s="58"/>
      <c r="D142" s="58"/>
      <c r="E142" s="62" t="s">
        <v>128</v>
      </c>
      <c r="F142" s="61"/>
      <c r="G142" s="41">
        <v>11498378.439999999</v>
      </c>
      <c r="H142" s="49">
        <v>13567678.24</v>
      </c>
      <c r="I142" s="42">
        <f t="shared" si="4"/>
        <v>-2069299.8000000007</v>
      </c>
      <c r="J142" s="43">
        <f t="shared" si="5"/>
        <v>0</v>
      </c>
      <c r="K142" s="44"/>
      <c r="L142" s="44"/>
      <c r="M142" s="7"/>
      <c r="N142" s="7"/>
      <c r="O142" s="7"/>
      <c r="P142" s="90"/>
      <c r="R142" s="7"/>
      <c r="S142" s="7"/>
      <c r="T142" s="7"/>
      <c r="U142" s="7"/>
      <c r="V142" s="7"/>
      <c r="W142" s="90"/>
      <c r="X142" s="7"/>
    </row>
    <row r="143" spans="1:24" ht="15.75" customHeight="1" x14ac:dyDescent="0.25">
      <c r="A143" s="1">
        <v>4137</v>
      </c>
      <c r="B143" s="57"/>
      <c r="C143" s="58"/>
      <c r="D143" s="58"/>
      <c r="E143" s="62" t="s">
        <v>129</v>
      </c>
      <c r="F143" s="61"/>
      <c r="G143" s="41">
        <v>1279416.94</v>
      </c>
      <c r="H143" s="49">
        <f>1534873.49</f>
        <v>1534873.49</v>
      </c>
      <c r="I143" s="42">
        <f t="shared" si="4"/>
        <v>-255456.55000000005</v>
      </c>
      <c r="J143" s="43">
        <f t="shared" si="5"/>
        <v>0</v>
      </c>
      <c r="K143" s="44"/>
      <c r="L143" s="44"/>
      <c r="M143" s="7"/>
      <c r="N143" s="7"/>
      <c r="O143" s="7"/>
      <c r="P143" s="90"/>
      <c r="R143" s="7"/>
      <c r="S143" s="7"/>
      <c r="T143" s="7"/>
      <c r="U143" s="7"/>
      <c r="V143" s="7"/>
      <c r="W143" s="90"/>
      <c r="X143" s="7"/>
    </row>
    <row r="144" spans="1:24" ht="15.75" hidden="1" customHeight="1" x14ac:dyDescent="0.25">
      <c r="A144" s="1"/>
      <c r="B144" s="57"/>
      <c r="C144" s="58"/>
      <c r="D144" s="58"/>
      <c r="E144" s="62" t="s">
        <v>134</v>
      </c>
      <c r="F144" s="61"/>
      <c r="G144" s="41">
        <v>0</v>
      </c>
      <c r="H144" s="91"/>
      <c r="I144" s="42">
        <f t="shared" si="4"/>
        <v>0</v>
      </c>
      <c r="J144" s="43">
        <f t="shared" si="5"/>
        <v>0</v>
      </c>
      <c r="K144" s="45"/>
      <c r="L144" s="45"/>
    </row>
    <row r="145" spans="1:24" s="94" customFormat="1" ht="15" customHeight="1" x14ac:dyDescent="0.25">
      <c r="A145" s="1">
        <v>42</v>
      </c>
      <c r="B145" s="57"/>
      <c r="C145" s="58"/>
      <c r="D145" s="58" t="s">
        <v>135</v>
      </c>
      <c r="E145" s="58"/>
      <c r="F145" s="61"/>
      <c r="G145" s="41">
        <f>+G146+G148+G150+G151+G153+G159+G162</f>
        <v>7172000</v>
      </c>
      <c r="H145" s="41">
        <f>+H146+H148+H150+H151+H153+H159+H162</f>
        <v>23514440.98</v>
      </c>
      <c r="I145" s="42">
        <f t="shared" si="4"/>
        <v>-16342440.98</v>
      </c>
      <c r="J145" s="43">
        <f t="shared" si="5"/>
        <v>0</v>
      </c>
      <c r="K145" s="93"/>
      <c r="L145" s="93"/>
      <c r="Q145" s="95"/>
    </row>
    <row r="146" spans="1:24" s="94" customFormat="1" ht="15" customHeight="1" x14ac:dyDescent="0.25">
      <c r="A146" s="1">
        <v>421</v>
      </c>
      <c r="B146" s="57"/>
      <c r="C146" s="58"/>
      <c r="D146" s="58"/>
      <c r="E146" s="62" t="s">
        <v>136</v>
      </c>
      <c r="F146" s="61"/>
      <c r="G146" s="41">
        <f>SUM(G147)</f>
        <v>598000</v>
      </c>
      <c r="H146" s="41">
        <f>SUM(H147)</f>
        <v>1554895</v>
      </c>
      <c r="I146" s="42">
        <f t="shared" si="4"/>
        <v>-956895</v>
      </c>
      <c r="J146" s="43">
        <f t="shared" si="5"/>
        <v>0</v>
      </c>
      <c r="K146" s="96"/>
      <c r="L146" s="96"/>
      <c r="M146" s="97"/>
      <c r="N146" s="97"/>
      <c r="O146" s="97"/>
      <c r="P146" s="97"/>
      <c r="Q146" s="95"/>
      <c r="R146" s="97"/>
      <c r="S146" s="97"/>
      <c r="T146" s="97"/>
      <c r="U146" s="97"/>
      <c r="V146" s="97"/>
      <c r="W146" s="97"/>
      <c r="X146" s="97"/>
    </row>
    <row r="147" spans="1:24" s="94" customFormat="1" ht="15" customHeight="1" x14ac:dyDescent="0.25">
      <c r="A147" s="1">
        <v>4211</v>
      </c>
      <c r="B147" s="57"/>
      <c r="C147" s="58"/>
      <c r="D147" s="58"/>
      <c r="E147" s="62" t="s">
        <v>137</v>
      </c>
      <c r="F147" s="61"/>
      <c r="G147" s="41">
        <f>230000*2*1.3</f>
        <v>598000</v>
      </c>
      <c r="H147" s="49">
        <v>1554895</v>
      </c>
      <c r="I147" s="42">
        <f t="shared" si="4"/>
        <v>-956895</v>
      </c>
      <c r="J147" s="43">
        <f t="shared" si="5"/>
        <v>0</v>
      </c>
      <c r="K147" s="93"/>
      <c r="L147" s="93"/>
      <c r="Q147" s="95"/>
    </row>
    <row r="148" spans="1:24" s="94" customFormat="1" ht="15" customHeight="1" x14ac:dyDescent="0.25">
      <c r="A148" s="1">
        <v>422</v>
      </c>
      <c r="B148" s="57"/>
      <c r="C148" s="58"/>
      <c r="D148" s="58"/>
      <c r="E148" s="62" t="s">
        <v>138</v>
      </c>
      <c r="F148" s="61"/>
      <c r="G148" s="41">
        <f>+G149</f>
        <v>832000</v>
      </c>
      <c r="H148" s="41">
        <f>+H149</f>
        <v>3076531.1</v>
      </c>
      <c r="I148" s="42">
        <f t="shared" si="4"/>
        <v>-2244531.1</v>
      </c>
      <c r="J148" s="43">
        <f t="shared" si="5"/>
        <v>0</v>
      </c>
      <c r="K148" s="93"/>
      <c r="L148" s="93"/>
      <c r="Q148" s="95"/>
      <c r="R148" s="97"/>
    </row>
    <row r="149" spans="1:24" s="94" customFormat="1" ht="15" customHeight="1" x14ac:dyDescent="0.25">
      <c r="A149" s="1">
        <v>4221</v>
      </c>
      <c r="B149" s="57"/>
      <c r="C149" s="58"/>
      <c r="D149" s="58"/>
      <c r="E149" s="62" t="s">
        <v>139</v>
      </c>
      <c r="F149" s="61"/>
      <c r="G149" s="41">
        <f>320000*2*1.3</f>
        <v>832000</v>
      </c>
      <c r="H149" s="49">
        <v>3076531.1</v>
      </c>
      <c r="I149" s="42">
        <f t="shared" si="4"/>
        <v>-2244531.1</v>
      </c>
      <c r="J149" s="43">
        <f t="shared" si="5"/>
        <v>0</v>
      </c>
      <c r="K149" s="93"/>
      <c r="L149" s="93"/>
      <c r="Q149" s="95"/>
      <c r="U149" s="97"/>
    </row>
    <row r="150" spans="1:24" s="94" customFormat="1" ht="15" hidden="1" customHeight="1" x14ac:dyDescent="0.25">
      <c r="A150" s="1"/>
      <c r="B150" s="57"/>
      <c r="C150" s="58"/>
      <c r="D150" s="58"/>
      <c r="E150" s="62" t="s">
        <v>140</v>
      </c>
      <c r="F150" s="61"/>
      <c r="G150" s="41"/>
      <c r="H150" s="98"/>
      <c r="I150" s="42">
        <f t="shared" si="4"/>
        <v>0</v>
      </c>
      <c r="J150" s="43">
        <f t="shared" si="5"/>
        <v>0</v>
      </c>
      <c r="K150" s="93"/>
      <c r="L150" s="93"/>
      <c r="Q150" s="95"/>
    </row>
    <row r="151" spans="1:24" s="94" customFormat="1" ht="15" customHeight="1" x14ac:dyDescent="0.25">
      <c r="A151" s="1">
        <v>423</v>
      </c>
      <c r="B151" s="57"/>
      <c r="C151" s="58"/>
      <c r="D151" s="58"/>
      <c r="E151" s="62" t="s">
        <v>141</v>
      </c>
      <c r="F151" s="61"/>
      <c r="G151" s="41">
        <f>+G152</f>
        <v>702000</v>
      </c>
      <c r="H151" s="41">
        <f>+H152</f>
        <v>7295836</v>
      </c>
      <c r="I151" s="42">
        <f t="shared" si="4"/>
        <v>-6593836</v>
      </c>
      <c r="J151" s="43">
        <f t="shared" si="5"/>
        <v>0</v>
      </c>
      <c r="K151" s="93"/>
      <c r="L151" s="93"/>
      <c r="Q151" s="95"/>
    </row>
    <row r="152" spans="1:24" s="94" customFormat="1" ht="15" customHeight="1" x14ac:dyDescent="0.25">
      <c r="A152" s="1">
        <v>4231</v>
      </c>
      <c r="B152" s="57"/>
      <c r="C152" s="58"/>
      <c r="D152" s="58"/>
      <c r="E152" s="62" t="s">
        <v>142</v>
      </c>
      <c r="F152" s="61"/>
      <c r="G152" s="41">
        <f>270000*2*1.3</f>
        <v>702000</v>
      </c>
      <c r="H152" s="49">
        <v>7295836</v>
      </c>
      <c r="I152" s="42">
        <f t="shared" si="4"/>
        <v>-6593836</v>
      </c>
      <c r="J152" s="43">
        <f t="shared" si="5"/>
        <v>0</v>
      </c>
      <c r="K152" s="93"/>
      <c r="L152" s="93"/>
      <c r="Q152" s="95"/>
    </row>
    <row r="153" spans="1:24" s="94" customFormat="1" ht="15" customHeight="1" x14ac:dyDescent="0.25">
      <c r="A153" s="1">
        <v>424</v>
      </c>
      <c r="B153" s="57"/>
      <c r="C153" s="58"/>
      <c r="D153" s="58"/>
      <c r="E153" s="62" t="s">
        <v>143</v>
      </c>
      <c r="F153" s="61"/>
      <c r="G153" s="41">
        <f>+G155+G154</f>
        <v>4030000</v>
      </c>
      <c r="H153" s="41">
        <f>+H155+H154+H156+H157+H158</f>
        <v>7935436.3600000003</v>
      </c>
      <c r="I153" s="42">
        <f t="shared" si="4"/>
        <v>-3905436.3600000003</v>
      </c>
      <c r="J153" s="43">
        <f t="shared" si="5"/>
        <v>0</v>
      </c>
      <c r="K153" s="93"/>
      <c r="L153" s="93"/>
      <c r="Q153" s="95"/>
    </row>
    <row r="154" spans="1:24" s="94" customFormat="1" ht="15" customHeight="1" x14ac:dyDescent="0.25">
      <c r="A154" s="1">
        <v>4242</v>
      </c>
      <c r="B154" s="57"/>
      <c r="C154" s="58"/>
      <c r="D154" s="58"/>
      <c r="E154" s="62" t="s">
        <v>144</v>
      </c>
      <c r="F154" s="61"/>
      <c r="G154" s="41">
        <f>100000*2*1.3</f>
        <v>260000</v>
      </c>
      <c r="H154" s="49">
        <v>15750</v>
      </c>
      <c r="I154" s="42">
        <f t="shared" si="4"/>
        <v>0</v>
      </c>
      <c r="J154" s="43">
        <f t="shared" si="5"/>
        <v>244250</v>
      </c>
      <c r="K154" s="93"/>
      <c r="L154" s="93"/>
      <c r="Q154" s="95"/>
    </row>
    <row r="155" spans="1:24" s="94" customFormat="1" ht="15" customHeight="1" x14ac:dyDescent="0.25">
      <c r="A155" s="1">
        <v>4243</v>
      </c>
      <c r="B155" s="57"/>
      <c r="C155" s="58"/>
      <c r="D155" s="58"/>
      <c r="E155" s="62" t="s">
        <v>145</v>
      </c>
      <c r="F155" s="61"/>
      <c r="G155" s="63">
        <f>1450000*2*1.3</f>
        <v>3770000</v>
      </c>
      <c r="H155" s="49">
        <v>7617936.3600000003</v>
      </c>
      <c r="I155" s="42">
        <f t="shared" si="4"/>
        <v>-3847936.3600000003</v>
      </c>
      <c r="J155" s="43">
        <f t="shared" si="5"/>
        <v>0</v>
      </c>
      <c r="K155" s="93"/>
      <c r="L155" s="93"/>
      <c r="Q155" s="95"/>
    </row>
    <row r="156" spans="1:24" s="94" customFormat="1" ht="15" customHeight="1" x14ac:dyDescent="0.25">
      <c r="A156" s="1">
        <v>4244</v>
      </c>
      <c r="B156" s="57"/>
      <c r="C156" s="58"/>
      <c r="D156" s="58"/>
      <c r="E156" s="62" t="s">
        <v>146</v>
      </c>
      <c r="F156" s="61"/>
      <c r="G156" s="63">
        <v>0</v>
      </c>
      <c r="H156" s="49">
        <v>13550</v>
      </c>
      <c r="I156" s="42">
        <f t="shared" si="4"/>
        <v>-13550</v>
      </c>
      <c r="J156" s="43">
        <f t="shared" si="5"/>
        <v>0</v>
      </c>
      <c r="K156" s="93"/>
      <c r="L156" s="93"/>
      <c r="Q156" s="95"/>
    </row>
    <row r="157" spans="1:24" s="94" customFormat="1" ht="15" customHeight="1" x14ac:dyDescent="0.25">
      <c r="A157" s="1">
        <v>4245</v>
      </c>
      <c r="B157" s="57"/>
      <c r="C157" s="58"/>
      <c r="D157" s="58"/>
      <c r="E157" s="62" t="s">
        <v>147</v>
      </c>
      <c r="F157" s="61"/>
      <c r="G157" s="63">
        <v>0</v>
      </c>
      <c r="H157" s="49">
        <v>6200</v>
      </c>
      <c r="I157" s="42">
        <f t="shared" si="4"/>
        <v>-6200</v>
      </c>
      <c r="J157" s="43">
        <f t="shared" si="5"/>
        <v>0</v>
      </c>
      <c r="K157" s="93"/>
      <c r="L157" s="93"/>
      <c r="Q157" s="95"/>
    </row>
    <row r="158" spans="1:24" s="94" customFormat="1" ht="15" customHeight="1" x14ac:dyDescent="0.25">
      <c r="A158" s="1">
        <v>4246</v>
      </c>
      <c r="B158" s="57"/>
      <c r="C158" s="58"/>
      <c r="D158" s="58"/>
      <c r="E158" s="62" t="s">
        <v>148</v>
      </c>
      <c r="F158" s="61"/>
      <c r="G158" s="63">
        <v>0</v>
      </c>
      <c r="H158" s="49">
        <v>282000</v>
      </c>
      <c r="I158" s="42">
        <f t="shared" si="4"/>
        <v>-282000</v>
      </c>
      <c r="J158" s="43">
        <f t="shared" si="5"/>
        <v>0</v>
      </c>
      <c r="K158" s="93"/>
      <c r="L158" s="93"/>
      <c r="Q158" s="95"/>
    </row>
    <row r="159" spans="1:24" s="94" customFormat="1" ht="15" customHeight="1" x14ac:dyDescent="0.25">
      <c r="A159" s="1">
        <v>425</v>
      </c>
      <c r="B159" s="57"/>
      <c r="C159" s="58"/>
      <c r="D159" s="58"/>
      <c r="E159" s="62" t="s">
        <v>149</v>
      </c>
      <c r="F159" s="61"/>
      <c r="G159" s="41">
        <f>+G160+G161</f>
        <v>191000</v>
      </c>
      <c r="H159" s="41">
        <f>+H160+H161</f>
        <v>1385710.48</v>
      </c>
      <c r="I159" s="42">
        <f t="shared" si="4"/>
        <v>-1194710.48</v>
      </c>
      <c r="J159" s="43">
        <f t="shared" si="5"/>
        <v>0</v>
      </c>
      <c r="K159" s="93"/>
      <c r="L159" s="93"/>
      <c r="Q159" s="95"/>
    </row>
    <row r="160" spans="1:24" s="94" customFormat="1" ht="15" customHeight="1" x14ac:dyDescent="0.25">
      <c r="A160" s="1">
        <v>4251</v>
      </c>
      <c r="B160" s="57"/>
      <c r="C160" s="58"/>
      <c r="D160" s="58"/>
      <c r="E160" s="62" t="s">
        <v>150</v>
      </c>
      <c r="F160" s="61"/>
      <c r="G160" s="41">
        <v>126000</v>
      </c>
      <c r="H160" s="49">
        <v>330165</v>
      </c>
      <c r="I160" s="42">
        <f t="shared" si="4"/>
        <v>-204165</v>
      </c>
      <c r="J160" s="43">
        <f t="shared" si="5"/>
        <v>0</v>
      </c>
      <c r="K160" s="93"/>
      <c r="L160" s="93"/>
      <c r="Q160" s="95"/>
    </row>
    <row r="161" spans="1:17" s="94" customFormat="1" x14ac:dyDescent="0.25">
      <c r="A161" s="1">
        <v>4252</v>
      </c>
      <c r="B161" s="57"/>
      <c r="C161" s="58"/>
      <c r="D161" s="58"/>
      <c r="E161" s="62" t="s">
        <v>151</v>
      </c>
      <c r="F161" s="61"/>
      <c r="G161" s="41">
        <v>65000</v>
      </c>
      <c r="H161" s="49">
        <v>1055545.48</v>
      </c>
      <c r="I161" s="42">
        <f t="shared" si="4"/>
        <v>-990545.48</v>
      </c>
      <c r="J161" s="43">
        <f t="shared" si="5"/>
        <v>0</v>
      </c>
      <c r="K161" s="93"/>
      <c r="L161" s="93"/>
      <c r="Q161" s="95"/>
    </row>
    <row r="162" spans="1:17" s="94" customFormat="1" x14ac:dyDescent="0.25">
      <c r="A162" s="1">
        <v>426</v>
      </c>
      <c r="B162" s="57"/>
      <c r="C162" s="58"/>
      <c r="D162" s="58"/>
      <c r="E162" s="62" t="s">
        <v>152</v>
      </c>
      <c r="F162" s="61"/>
      <c r="G162" s="41">
        <f>+G163+G164+G165</f>
        <v>819000</v>
      </c>
      <c r="H162" s="41">
        <f>+H163+H164+H165</f>
        <v>2266032.04</v>
      </c>
      <c r="I162" s="42">
        <f t="shared" si="4"/>
        <v>-1447032.04</v>
      </c>
      <c r="J162" s="43">
        <f t="shared" si="5"/>
        <v>0</v>
      </c>
      <c r="K162" s="93"/>
      <c r="L162" s="93"/>
      <c r="Q162" s="95"/>
    </row>
    <row r="163" spans="1:17" s="94" customFormat="1" x14ac:dyDescent="0.25">
      <c r="A163" s="1">
        <v>4261</v>
      </c>
      <c r="B163" s="57"/>
      <c r="C163" s="58"/>
      <c r="D163" s="58"/>
      <c r="E163" s="62" t="s">
        <v>153</v>
      </c>
      <c r="F163" s="61"/>
      <c r="G163" s="41">
        <f>135000*2*1.3</f>
        <v>351000</v>
      </c>
      <c r="H163" s="49">
        <v>1215694</v>
      </c>
      <c r="I163" s="42">
        <f t="shared" si="4"/>
        <v>-864694</v>
      </c>
      <c r="J163" s="43">
        <f t="shared" si="5"/>
        <v>0</v>
      </c>
      <c r="K163" s="93"/>
      <c r="L163" s="93"/>
      <c r="Q163" s="95"/>
    </row>
    <row r="164" spans="1:17" s="94" customFormat="1" x14ac:dyDescent="0.25">
      <c r="A164" s="1">
        <v>4262</v>
      </c>
      <c r="B164" s="57"/>
      <c r="C164" s="58"/>
      <c r="D164" s="58"/>
      <c r="E164" s="62" t="s">
        <v>154</v>
      </c>
      <c r="F164" s="61"/>
      <c r="G164" s="41">
        <f>160000*2*1.3</f>
        <v>416000</v>
      </c>
      <c r="H164" s="49">
        <f>863728.44+36609.6</f>
        <v>900338.03999999992</v>
      </c>
      <c r="I164" s="42">
        <f t="shared" si="4"/>
        <v>-484338.03999999992</v>
      </c>
      <c r="J164" s="43">
        <f t="shared" si="5"/>
        <v>0</v>
      </c>
      <c r="K164" s="93"/>
      <c r="L164" s="93"/>
      <c r="Q164" s="95"/>
    </row>
    <row r="165" spans="1:17" s="94" customFormat="1" x14ac:dyDescent="0.25">
      <c r="A165" s="1">
        <v>4263</v>
      </c>
      <c r="B165" s="57"/>
      <c r="C165" s="58"/>
      <c r="D165" s="58"/>
      <c r="E165" s="62" t="s">
        <v>155</v>
      </c>
      <c r="F165" s="61"/>
      <c r="G165" s="41">
        <f>40000*1.3</f>
        <v>52000</v>
      </c>
      <c r="H165" s="49">
        <v>150000</v>
      </c>
      <c r="I165" s="42">
        <f t="shared" si="4"/>
        <v>-98000</v>
      </c>
      <c r="J165" s="43">
        <f t="shared" si="5"/>
        <v>0</v>
      </c>
      <c r="K165" s="93"/>
      <c r="L165" s="93"/>
      <c r="Q165" s="95"/>
    </row>
    <row r="166" spans="1:17" s="65" customFormat="1" x14ac:dyDescent="0.25">
      <c r="A166" s="1">
        <v>43</v>
      </c>
      <c r="B166" s="57"/>
      <c r="C166" s="58"/>
      <c r="D166" s="58" t="s">
        <v>156</v>
      </c>
      <c r="E166" s="99"/>
      <c r="F166" s="61"/>
      <c r="G166" s="41">
        <f>+G167+G171+G181+G188+G196+G198+G203</f>
        <v>19654600</v>
      </c>
      <c r="H166" s="41">
        <f>+H167+H171+H181+H188+H196+H198+H203</f>
        <v>89509087.310000002</v>
      </c>
      <c r="I166" s="42">
        <f t="shared" si="4"/>
        <v>-69854487.310000002</v>
      </c>
      <c r="J166" s="43">
        <f t="shared" si="5"/>
        <v>0</v>
      </c>
      <c r="K166" s="100"/>
      <c r="L166" s="64"/>
      <c r="M166" s="66"/>
      <c r="Q166" s="66"/>
    </row>
    <row r="167" spans="1:17" s="65" customFormat="1" x14ac:dyDescent="0.25">
      <c r="A167" s="1">
        <v>431</v>
      </c>
      <c r="B167" s="57"/>
      <c r="C167" s="58"/>
      <c r="D167" s="58"/>
      <c r="E167" s="62" t="s">
        <v>157</v>
      </c>
      <c r="F167" s="61"/>
      <c r="G167" s="41">
        <f>+G168+G169+G170</f>
        <v>850200</v>
      </c>
      <c r="H167" s="41">
        <f>+H168+H169+H170</f>
        <v>9257990.0500000007</v>
      </c>
      <c r="I167" s="42">
        <f t="shared" si="4"/>
        <v>-8407790.0500000007</v>
      </c>
      <c r="J167" s="43">
        <f t="shared" si="5"/>
        <v>0</v>
      </c>
      <c r="K167" s="101"/>
      <c r="L167" s="64"/>
      <c r="Q167" s="66"/>
    </row>
    <row r="168" spans="1:17" s="65" customFormat="1" x14ac:dyDescent="0.25">
      <c r="A168" s="1">
        <v>4311</v>
      </c>
      <c r="B168" s="57"/>
      <c r="C168" s="58"/>
      <c r="D168" s="58"/>
      <c r="E168" s="62" t="s">
        <v>158</v>
      </c>
      <c r="F168" s="61"/>
      <c r="G168" s="41">
        <f>125000*2*1.3</f>
        <v>325000</v>
      </c>
      <c r="H168" s="49">
        <v>984106.52</v>
      </c>
      <c r="I168" s="42">
        <f t="shared" si="4"/>
        <v>-659106.52</v>
      </c>
      <c r="J168" s="43">
        <f t="shared" si="5"/>
        <v>0</v>
      </c>
      <c r="K168" s="101"/>
      <c r="L168" s="64"/>
      <c r="Q168" s="66"/>
    </row>
    <row r="169" spans="1:17" s="65" customFormat="1" x14ac:dyDescent="0.25">
      <c r="A169" s="1">
        <v>4312</v>
      </c>
      <c r="B169" s="57"/>
      <c r="C169" s="58"/>
      <c r="D169" s="58"/>
      <c r="E169" s="62" t="s">
        <v>147</v>
      </c>
      <c r="F169" s="61"/>
      <c r="G169" s="41">
        <f>2000*2*1.3</f>
        <v>5200</v>
      </c>
      <c r="H169" s="49">
        <v>7390</v>
      </c>
      <c r="I169" s="42">
        <f t="shared" si="4"/>
        <v>-2190</v>
      </c>
      <c r="J169" s="43">
        <f t="shared" si="5"/>
        <v>0</v>
      </c>
      <c r="K169" s="101"/>
      <c r="L169" s="64"/>
      <c r="Q169" s="66"/>
    </row>
    <row r="170" spans="1:17" s="65" customFormat="1" x14ac:dyDescent="0.25">
      <c r="A170" s="1">
        <v>4313</v>
      </c>
      <c r="B170" s="57"/>
      <c r="C170" s="58"/>
      <c r="D170" s="58"/>
      <c r="E170" s="62" t="s">
        <v>159</v>
      </c>
      <c r="F170" s="61"/>
      <c r="G170" s="41">
        <f>200000*2*1.3</f>
        <v>520000</v>
      </c>
      <c r="H170" s="49">
        <v>8266493.5300000003</v>
      </c>
      <c r="I170" s="42">
        <f t="shared" si="4"/>
        <v>-7746493.5300000003</v>
      </c>
      <c r="J170" s="43">
        <f t="shared" si="5"/>
        <v>0</v>
      </c>
      <c r="K170" s="101"/>
      <c r="L170" s="64"/>
      <c r="Q170" s="66"/>
    </row>
    <row r="171" spans="1:17" s="65" customFormat="1" x14ac:dyDescent="0.25">
      <c r="A171" s="1">
        <v>432</v>
      </c>
      <c r="B171" s="57"/>
      <c r="C171" s="58"/>
      <c r="D171" s="58"/>
      <c r="E171" s="62" t="s">
        <v>160</v>
      </c>
      <c r="F171" s="61"/>
      <c r="G171" s="41">
        <f>+G172+G173+G174+G175+G177+G176</f>
        <v>5056000</v>
      </c>
      <c r="H171" s="41">
        <f>+H172+H173+H174+H175+H177+H176+H178+H179+H180</f>
        <v>18700548.66</v>
      </c>
      <c r="I171" s="42">
        <f t="shared" si="4"/>
        <v>-13644548.66</v>
      </c>
      <c r="J171" s="43">
        <f t="shared" si="5"/>
        <v>0</v>
      </c>
      <c r="K171" s="101"/>
      <c r="L171" s="64"/>
      <c r="Q171" s="66"/>
    </row>
    <row r="172" spans="1:17" s="65" customFormat="1" x14ac:dyDescent="0.25">
      <c r="A172" s="1">
        <v>4321</v>
      </c>
      <c r="B172" s="57"/>
      <c r="C172" s="58"/>
      <c r="D172" s="58"/>
      <c r="E172" s="62" t="s">
        <v>161</v>
      </c>
      <c r="F172" s="61"/>
      <c r="G172" s="41">
        <f>430000*2*1.3</f>
        <v>1118000</v>
      </c>
      <c r="H172" s="49">
        <v>6776486.5599999996</v>
      </c>
      <c r="I172" s="42">
        <f t="shared" si="4"/>
        <v>-5658486.5599999996</v>
      </c>
      <c r="J172" s="43">
        <f t="shared" si="5"/>
        <v>0</v>
      </c>
      <c r="K172" s="101"/>
      <c r="L172" s="64"/>
      <c r="Q172" s="66"/>
    </row>
    <row r="173" spans="1:17" s="65" customFormat="1" x14ac:dyDescent="0.25">
      <c r="A173" s="1">
        <v>4322</v>
      </c>
      <c r="B173" s="57"/>
      <c r="C173" s="58"/>
      <c r="D173" s="58"/>
      <c r="E173" s="62" t="s">
        <v>162</v>
      </c>
      <c r="F173" s="61"/>
      <c r="G173" s="41">
        <f>620000*2*1.3</f>
        <v>1612000</v>
      </c>
      <c r="H173" s="49">
        <v>5944906.0300000003</v>
      </c>
      <c r="I173" s="42">
        <f t="shared" si="4"/>
        <v>-4332906.03</v>
      </c>
      <c r="J173" s="43">
        <f t="shared" si="5"/>
        <v>0</v>
      </c>
      <c r="K173" s="101"/>
      <c r="L173" s="64"/>
      <c r="Q173" s="66"/>
    </row>
    <row r="174" spans="1:17" s="65" customFormat="1" x14ac:dyDescent="0.25">
      <c r="A174" s="1">
        <v>4323</v>
      </c>
      <c r="B174" s="57"/>
      <c r="C174" s="58"/>
      <c r="D174" s="58"/>
      <c r="E174" s="62" t="s">
        <v>163</v>
      </c>
      <c r="F174" s="61"/>
      <c r="G174" s="41">
        <f>60000*2*1.3</f>
        <v>156000</v>
      </c>
      <c r="H174" s="49">
        <v>371067.1</v>
      </c>
      <c r="I174" s="42">
        <f t="shared" si="4"/>
        <v>-215067.09999999998</v>
      </c>
      <c r="J174" s="43">
        <f t="shared" si="5"/>
        <v>0</v>
      </c>
      <c r="K174" s="101"/>
      <c r="L174" s="64"/>
      <c r="Q174" s="66"/>
    </row>
    <row r="175" spans="1:17" s="65" customFormat="1" x14ac:dyDescent="0.25">
      <c r="A175" s="1">
        <v>4324</v>
      </c>
      <c r="B175" s="57"/>
      <c r="C175" s="58"/>
      <c r="D175" s="58"/>
      <c r="E175" s="62" t="s">
        <v>164</v>
      </c>
      <c r="F175" s="61"/>
      <c r="G175" s="41">
        <f>50000*1.3</f>
        <v>65000</v>
      </c>
      <c r="H175" s="49">
        <v>67236.039999999994</v>
      </c>
      <c r="I175" s="42">
        <f t="shared" si="4"/>
        <v>-2236.0399999999936</v>
      </c>
      <c r="J175" s="43">
        <f t="shared" si="5"/>
        <v>0</v>
      </c>
      <c r="K175" s="101"/>
      <c r="L175" s="64"/>
      <c r="Q175" s="66"/>
    </row>
    <row r="176" spans="1:17" s="65" customFormat="1" x14ac:dyDescent="0.25">
      <c r="A176" s="1">
        <v>4325</v>
      </c>
      <c r="B176" s="57"/>
      <c r="C176" s="58"/>
      <c r="D176" s="58"/>
      <c r="E176" s="62" t="s">
        <v>165</v>
      </c>
      <c r="F176" s="61"/>
      <c r="G176" s="41">
        <v>545000</v>
      </c>
      <c r="H176" s="49">
        <v>745827.04</v>
      </c>
      <c r="I176" s="42">
        <f t="shared" si="4"/>
        <v>-200827.04000000004</v>
      </c>
      <c r="J176" s="43">
        <f t="shared" si="5"/>
        <v>0</v>
      </c>
      <c r="K176" s="101"/>
      <c r="L176" s="64"/>
      <c r="Q176" s="66"/>
    </row>
    <row r="177" spans="1:17" s="65" customFormat="1" x14ac:dyDescent="0.25">
      <c r="A177" s="1">
        <v>4326</v>
      </c>
      <c r="B177" s="57"/>
      <c r="C177" s="58"/>
      <c r="D177" s="58"/>
      <c r="E177" s="62" t="s">
        <v>166</v>
      </c>
      <c r="F177" s="61"/>
      <c r="G177" s="41">
        <f>600000*2*1.3</f>
        <v>1560000</v>
      </c>
      <c r="H177" s="49">
        <v>3870132.97</v>
      </c>
      <c r="I177" s="42">
        <f t="shared" si="4"/>
        <v>-2310132.9700000002</v>
      </c>
      <c r="J177" s="43">
        <f t="shared" si="5"/>
        <v>0</v>
      </c>
      <c r="K177" s="101"/>
      <c r="L177" s="64"/>
      <c r="Q177" s="66"/>
    </row>
    <row r="178" spans="1:17" s="65" customFormat="1" x14ac:dyDescent="0.25">
      <c r="A178" s="1">
        <v>4327</v>
      </c>
      <c r="B178" s="57"/>
      <c r="C178" s="58"/>
      <c r="D178" s="58"/>
      <c r="E178" s="62" t="s">
        <v>167</v>
      </c>
      <c r="F178" s="61"/>
      <c r="G178" s="41">
        <v>0</v>
      </c>
      <c r="H178" s="49">
        <v>42000</v>
      </c>
      <c r="I178" s="42">
        <f t="shared" si="4"/>
        <v>-42000</v>
      </c>
      <c r="J178" s="43">
        <f t="shared" si="5"/>
        <v>0</v>
      </c>
      <c r="K178" s="101"/>
      <c r="L178" s="64"/>
      <c r="Q178" s="66"/>
    </row>
    <row r="179" spans="1:17" s="65" customFormat="1" x14ac:dyDescent="0.25">
      <c r="A179" s="1">
        <v>4328</v>
      </c>
      <c r="B179" s="57"/>
      <c r="C179" s="58"/>
      <c r="D179" s="58"/>
      <c r="E179" s="62" t="s">
        <v>168</v>
      </c>
      <c r="F179" s="61"/>
      <c r="G179" s="41">
        <v>0</v>
      </c>
      <c r="H179" s="49">
        <v>511436</v>
      </c>
      <c r="I179" s="42">
        <f t="shared" si="4"/>
        <v>-511436</v>
      </c>
      <c r="J179" s="43">
        <f t="shared" si="5"/>
        <v>0</v>
      </c>
      <c r="K179" s="101"/>
      <c r="L179" s="64"/>
      <c r="Q179" s="66"/>
    </row>
    <row r="180" spans="1:17" s="65" customFormat="1" x14ac:dyDescent="0.25">
      <c r="A180" s="1">
        <v>4329</v>
      </c>
      <c r="B180" s="57"/>
      <c r="C180" s="58"/>
      <c r="D180" s="58"/>
      <c r="E180" s="62" t="s">
        <v>169</v>
      </c>
      <c r="F180" s="61"/>
      <c r="G180" s="41">
        <v>0</v>
      </c>
      <c r="H180" s="102">
        <v>371456.92</v>
      </c>
      <c r="I180" s="42">
        <f t="shared" si="4"/>
        <v>-371456.92</v>
      </c>
      <c r="J180" s="43">
        <f t="shared" si="5"/>
        <v>0</v>
      </c>
      <c r="K180" s="101"/>
      <c r="L180" s="64"/>
      <c r="Q180" s="66"/>
    </row>
    <row r="181" spans="1:17" s="65" customFormat="1" x14ac:dyDescent="0.25">
      <c r="A181" s="1">
        <v>433</v>
      </c>
      <c r="B181" s="57"/>
      <c r="C181" s="58"/>
      <c r="D181" s="58"/>
      <c r="E181" s="62" t="s">
        <v>170</v>
      </c>
      <c r="F181" s="61"/>
      <c r="G181" s="41">
        <f>+G182+G183+G185+G186+G187</f>
        <v>4949400</v>
      </c>
      <c r="H181" s="41">
        <f>+H182+H183+H185+H186+H187+H184</f>
        <v>9502048.8000000007</v>
      </c>
      <c r="I181" s="42">
        <f t="shared" si="4"/>
        <v>-4552648.8000000007</v>
      </c>
      <c r="J181" s="43">
        <f t="shared" si="5"/>
        <v>0</v>
      </c>
      <c r="K181" s="101"/>
      <c r="L181" s="64"/>
      <c r="Q181" s="66"/>
    </row>
    <row r="182" spans="1:17" s="65" customFormat="1" x14ac:dyDescent="0.25">
      <c r="A182" s="1">
        <v>4331</v>
      </c>
      <c r="B182" s="57"/>
      <c r="C182" s="58"/>
      <c r="D182" s="58"/>
      <c r="E182" s="62" t="s">
        <v>171</v>
      </c>
      <c r="F182" s="61"/>
      <c r="G182" s="41">
        <f>600000*2*1.3</f>
        <v>1560000</v>
      </c>
      <c r="H182" s="49">
        <v>2960000</v>
      </c>
      <c r="I182" s="42">
        <f t="shared" si="4"/>
        <v>-1400000</v>
      </c>
      <c r="J182" s="43">
        <f t="shared" si="5"/>
        <v>0</v>
      </c>
      <c r="K182" s="101"/>
      <c r="L182" s="64"/>
      <c r="Q182" s="66"/>
    </row>
    <row r="183" spans="1:17" s="65" customFormat="1" x14ac:dyDescent="0.25">
      <c r="A183" s="1">
        <v>4332</v>
      </c>
      <c r="B183" s="57"/>
      <c r="C183" s="58"/>
      <c r="D183" s="58"/>
      <c r="E183" s="62" t="s">
        <v>172</v>
      </c>
      <c r="F183" s="61"/>
      <c r="G183" s="41">
        <f>255000*2*1.3</f>
        <v>663000</v>
      </c>
      <c r="H183" s="49">
        <v>960000</v>
      </c>
      <c r="I183" s="42">
        <f t="shared" si="4"/>
        <v>-297000</v>
      </c>
      <c r="J183" s="43">
        <f t="shared" si="5"/>
        <v>0</v>
      </c>
      <c r="K183" s="101"/>
      <c r="L183" s="64"/>
      <c r="Q183" s="66"/>
    </row>
    <row r="184" spans="1:17" s="65" customFormat="1" x14ac:dyDescent="0.25">
      <c r="A184" s="1">
        <v>4333</v>
      </c>
      <c r="B184" s="57"/>
      <c r="C184" s="58"/>
      <c r="D184" s="58"/>
      <c r="E184" s="62" t="s">
        <v>173</v>
      </c>
      <c r="F184" s="61"/>
      <c r="G184" s="41">
        <v>0</v>
      </c>
      <c r="H184" s="41">
        <v>429048.8</v>
      </c>
      <c r="I184" s="42">
        <f t="shared" si="4"/>
        <v>-429048.8</v>
      </c>
      <c r="J184" s="43">
        <f t="shared" si="5"/>
        <v>0</v>
      </c>
      <c r="K184" s="101"/>
      <c r="L184" s="64"/>
      <c r="Q184" s="66"/>
    </row>
    <row r="185" spans="1:17" s="65" customFormat="1" x14ac:dyDescent="0.25">
      <c r="A185" s="1">
        <v>4335</v>
      </c>
      <c r="B185" s="57"/>
      <c r="C185" s="58"/>
      <c r="D185" s="58"/>
      <c r="E185" s="62" t="s">
        <v>174</v>
      </c>
      <c r="F185" s="61"/>
      <c r="G185" s="41">
        <f>518000*2*1.3</f>
        <v>1346800</v>
      </c>
      <c r="H185" s="49">
        <v>1796000</v>
      </c>
      <c r="I185" s="42">
        <f t="shared" si="4"/>
        <v>-449200</v>
      </c>
      <c r="J185" s="43">
        <f t="shared" si="5"/>
        <v>0</v>
      </c>
      <c r="K185" s="101"/>
      <c r="L185" s="64"/>
      <c r="Q185" s="66"/>
    </row>
    <row r="186" spans="1:17" s="65" customFormat="1" x14ac:dyDescent="0.25">
      <c r="A186" s="1">
        <v>4337</v>
      </c>
      <c r="B186" s="57"/>
      <c r="C186" s="58"/>
      <c r="D186" s="58"/>
      <c r="E186" s="62" t="s">
        <v>147</v>
      </c>
      <c r="F186" s="61"/>
      <c r="G186" s="41">
        <f>146000*2*1.3</f>
        <v>379600</v>
      </c>
      <c r="H186" s="49">
        <v>2290000</v>
      </c>
      <c r="I186" s="42">
        <f t="shared" si="4"/>
        <v>-1910400</v>
      </c>
      <c r="J186" s="43">
        <f t="shared" si="5"/>
        <v>0</v>
      </c>
      <c r="K186" s="101"/>
      <c r="L186" s="64"/>
      <c r="Q186" s="66"/>
    </row>
    <row r="187" spans="1:17" s="65" customFormat="1" x14ac:dyDescent="0.25">
      <c r="A187" s="1">
        <v>4338</v>
      </c>
      <c r="B187" s="57"/>
      <c r="C187" s="58"/>
      <c r="D187" s="58"/>
      <c r="E187" s="62" t="s">
        <v>175</v>
      </c>
      <c r="F187" s="61"/>
      <c r="G187" s="41">
        <v>1000000</v>
      </c>
      <c r="H187" s="49">
        <v>1067000</v>
      </c>
      <c r="I187" s="42">
        <f t="shared" si="4"/>
        <v>-67000</v>
      </c>
      <c r="J187" s="43">
        <f t="shared" si="5"/>
        <v>0</v>
      </c>
      <c r="K187" s="101"/>
      <c r="L187" s="64"/>
      <c r="Q187" s="66"/>
    </row>
    <row r="188" spans="1:17" s="65" customFormat="1" x14ac:dyDescent="0.25">
      <c r="A188" s="1">
        <v>434</v>
      </c>
      <c r="B188" s="57"/>
      <c r="C188" s="58"/>
      <c r="D188" s="58"/>
      <c r="E188" s="62" t="s">
        <v>176</v>
      </c>
      <c r="F188" s="61"/>
      <c r="G188" s="41">
        <f>+G189+G190+G191+G192+G194</f>
        <v>1706000</v>
      </c>
      <c r="H188" s="41">
        <f>+H189+H190+H191+H192+H194+H195+H193</f>
        <v>5243228.129999999</v>
      </c>
      <c r="I188" s="42">
        <f t="shared" si="4"/>
        <v>-3537228.129999999</v>
      </c>
      <c r="J188" s="43">
        <f t="shared" si="5"/>
        <v>0</v>
      </c>
      <c r="K188" s="101"/>
      <c r="L188" s="64"/>
      <c r="Q188" s="66"/>
    </row>
    <row r="189" spans="1:17" s="65" customFormat="1" x14ac:dyDescent="0.25">
      <c r="A189" s="1">
        <v>4341</v>
      </c>
      <c r="B189" s="57"/>
      <c r="C189" s="58"/>
      <c r="D189" s="58"/>
      <c r="E189" s="62" t="s">
        <v>177</v>
      </c>
      <c r="F189" s="61"/>
      <c r="G189" s="76">
        <f>8000*2*1.3</f>
        <v>20800</v>
      </c>
      <c r="H189" s="49">
        <v>760309.03</v>
      </c>
      <c r="I189" s="42">
        <f t="shared" si="4"/>
        <v>-739509.03</v>
      </c>
      <c r="J189" s="43">
        <f t="shared" si="5"/>
        <v>0</v>
      </c>
      <c r="K189" s="101"/>
      <c r="L189" s="64"/>
      <c r="Q189" s="66"/>
    </row>
    <row r="190" spans="1:17" s="65" customFormat="1" x14ac:dyDescent="0.25">
      <c r="A190" s="1">
        <v>4342</v>
      </c>
      <c r="B190" s="57"/>
      <c r="C190" s="58"/>
      <c r="D190" s="58"/>
      <c r="E190" s="62" t="s">
        <v>178</v>
      </c>
      <c r="F190" s="61"/>
      <c r="G190" s="41">
        <v>150000</v>
      </c>
      <c r="H190" s="49">
        <v>423292</v>
      </c>
      <c r="I190" s="42">
        <f t="shared" si="4"/>
        <v>-273292</v>
      </c>
      <c r="J190" s="43">
        <f t="shared" si="5"/>
        <v>0</v>
      </c>
      <c r="K190" s="101"/>
      <c r="L190" s="64"/>
      <c r="Q190" s="66"/>
    </row>
    <row r="191" spans="1:17" s="65" customFormat="1" x14ac:dyDescent="0.25">
      <c r="A191" s="1">
        <v>4343</v>
      </c>
      <c r="B191" s="57"/>
      <c r="C191" s="58"/>
      <c r="D191" s="58"/>
      <c r="E191" s="62" t="s">
        <v>179</v>
      </c>
      <c r="F191" s="61"/>
      <c r="G191" s="103">
        <f>700000*1.3</f>
        <v>910000</v>
      </c>
      <c r="H191" s="49">
        <v>2975918.77</v>
      </c>
      <c r="I191" s="42">
        <f t="shared" si="4"/>
        <v>-2065918.77</v>
      </c>
      <c r="J191" s="43">
        <f t="shared" si="5"/>
        <v>0</v>
      </c>
      <c r="K191" s="101"/>
      <c r="L191" s="64"/>
      <c r="Q191" s="66"/>
    </row>
    <row r="192" spans="1:17" s="65" customFormat="1" x14ac:dyDescent="0.25">
      <c r="A192" s="1">
        <v>4345</v>
      </c>
      <c r="B192" s="57"/>
      <c r="C192" s="58"/>
      <c r="D192" s="58"/>
      <c r="E192" s="62" t="s">
        <v>180</v>
      </c>
      <c r="F192" s="61"/>
      <c r="G192" s="41">
        <f>202000*2*1.3</f>
        <v>525200</v>
      </c>
      <c r="H192" s="49">
        <f>51661.02+481609.96</f>
        <v>533270.98</v>
      </c>
      <c r="I192" s="42">
        <f t="shared" si="4"/>
        <v>-8070.9799999999814</v>
      </c>
      <c r="J192" s="43">
        <f t="shared" si="5"/>
        <v>0</v>
      </c>
      <c r="K192" s="101"/>
      <c r="L192" s="64"/>
      <c r="Q192" s="66"/>
    </row>
    <row r="193" spans="1:17" s="65" customFormat="1" x14ac:dyDescent="0.25">
      <c r="A193" s="1">
        <v>4346</v>
      </c>
      <c r="B193" s="57"/>
      <c r="C193" s="58"/>
      <c r="D193" s="58"/>
      <c r="E193" s="62" t="s">
        <v>181</v>
      </c>
      <c r="F193" s="61"/>
      <c r="G193" s="41">
        <v>0</v>
      </c>
      <c r="H193" s="49">
        <v>199544</v>
      </c>
      <c r="I193" s="42">
        <f t="shared" si="4"/>
        <v>-199544</v>
      </c>
      <c r="J193" s="43">
        <f t="shared" si="5"/>
        <v>0</v>
      </c>
      <c r="K193" s="101"/>
      <c r="L193" s="64"/>
      <c r="Q193" s="66"/>
    </row>
    <row r="194" spans="1:17" s="65" customFormat="1" x14ac:dyDescent="0.25">
      <c r="A194" s="1">
        <v>4347</v>
      </c>
      <c r="B194" s="57"/>
      <c r="C194" s="58"/>
      <c r="D194" s="58"/>
      <c r="E194" s="62" t="s">
        <v>182</v>
      </c>
      <c r="F194" s="61"/>
      <c r="G194" s="41">
        <v>100000</v>
      </c>
      <c r="H194" s="49">
        <v>0</v>
      </c>
      <c r="I194" s="42">
        <f t="shared" si="4"/>
        <v>0</v>
      </c>
      <c r="J194" s="43">
        <f t="shared" si="5"/>
        <v>100000</v>
      </c>
      <c r="K194" s="101"/>
      <c r="L194" s="64"/>
      <c r="Q194" s="66"/>
    </row>
    <row r="195" spans="1:17" s="65" customFormat="1" x14ac:dyDescent="0.25">
      <c r="A195" s="1">
        <v>4348</v>
      </c>
      <c r="B195" s="57"/>
      <c r="C195" s="58"/>
      <c r="D195" s="58"/>
      <c r="E195" s="62" t="s">
        <v>183</v>
      </c>
      <c r="F195" s="61"/>
      <c r="G195" s="41">
        <v>0</v>
      </c>
      <c r="H195" s="49">
        <v>350893.35</v>
      </c>
      <c r="I195" s="42">
        <f t="shared" si="4"/>
        <v>-350893.35</v>
      </c>
      <c r="J195" s="43">
        <f t="shared" si="5"/>
        <v>0</v>
      </c>
      <c r="K195" s="101"/>
      <c r="L195" s="64"/>
      <c r="Q195" s="66"/>
    </row>
    <row r="196" spans="1:17" s="65" customFormat="1" x14ac:dyDescent="0.25">
      <c r="A196" s="1">
        <v>435</v>
      </c>
      <c r="B196" s="57"/>
      <c r="C196" s="58"/>
      <c r="D196" s="58"/>
      <c r="E196" s="62" t="s">
        <v>184</v>
      </c>
      <c r="F196" s="61"/>
      <c r="G196" s="41">
        <f>+G197</f>
        <v>663000</v>
      </c>
      <c r="H196" s="41">
        <f>+H197</f>
        <v>1852585.58</v>
      </c>
      <c r="I196" s="42">
        <f t="shared" si="4"/>
        <v>-1189585.58</v>
      </c>
      <c r="J196" s="43">
        <f t="shared" si="5"/>
        <v>0</v>
      </c>
      <c r="K196" s="101"/>
      <c r="L196" s="64"/>
      <c r="Q196" s="66"/>
    </row>
    <row r="197" spans="1:17" s="65" customFormat="1" x14ac:dyDescent="0.25">
      <c r="A197" s="1">
        <v>4351</v>
      </c>
      <c r="B197" s="57"/>
      <c r="C197" s="58"/>
      <c r="D197" s="58"/>
      <c r="E197" s="62" t="s">
        <v>185</v>
      </c>
      <c r="F197" s="61"/>
      <c r="G197" s="41">
        <f>255000*2*1.3</f>
        <v>663000</v>
      </c>
      <c r="H197" s="49">
        <v>1852585.58</v>
      </c>
      <c r="I197" s="42">
        <f t="shared" si="4"/>
        <v>-1189585.58</v>
      </c>
      <c r="J197" s="43">
        <f t="shared" si="5"/>
        <v>0</v>
      </c>
      <c r="K197" s="101"/>
      <c r="L197" s="64"/>
      <c r="Q197" s="66"/>
    </row>
    <row r="198" spans="1:17" s="69" customFormat="1" x14ac:dyDescent="0.25">
      <c r="A198" s="1">
        <v>436</v>
      </c>
      <c r="B198" s="57"/>
      <c r="C198" s="58"/>
      <c r="D198" s="58"/>
      <c r="E198" s="104" t="s">
        <v>186</v>
      </c>
      <c r="F198" s="61"/>
      <c r="G198" s="41">
        <f>+G199+G200+G201</f>
        <v>5650000</v>
      </c>
      <c r="H198" s="41">
        <f>+H199+H200+H201+H202</f>
        <v>42811686.090000004</v>
      </c>
      <c r="I198" s="42">
        <f t="shared" si="4"/>
        <v>-37161686.090000004</v>
      </c>
      <c r="J198" s="43">
        <f t="shared" si="5"/>
        <v>0</v>
      </c>
      <c r="K198" s="68"/>
      <c r="L198" s="68"/>
      <c r="Q198" s="70"/>
    </row>
    <row r="199" spans="1:17" s="69" customFormat="1" x14ac:dyDescent="0.25">
      <c r="A199" s="1">
        <v>4361</v>
      </c>
      <c r="B199" s="57"/>
      <c r="C199" s="58"/>
      <c r="D199" s="58"/>
      <c r="E199" s="104" t="s">
        <v>187</v>
      </c>
      <c r="F199" s="61"/>
      <c r="G199" s="41">
        <f>250000*2*1.3</f>
        <v>650000</v>
      </c>
      <c r="H199" s="49">
        <v>10381393.960000001</v>
      </c>
      <c r="I199" s="42">
        <f t="shared" ref="I199:I269" si="6">IF(G199&gt;H199,0,G199-H199)</f>
        <v>-9731393.9600000009</v>
      </c>
      <c r="J199" s="43">
        <f t="shared" ref="J199:J269" si="7">IF(G199&lt;H199,0,G199-H199)</f>
        <v>0</v>
      </c>
      <c r="K199" s="68"/>
      <c r="L199" s="68"/>
      <c r="Q199" s="70"/>
    </row>
    <row r="200" spans="1:17" s="69" customFormat="1" x14ac:dyDescent="0.25">
      <c r="A200" s="1">
        <v>4362</v>
      </c>
      <c r="B200" s="57"/>
      <c r="C200" s="58"/>
      <c r="D200" s="58"/>
      <c r="E200" s="104" t="s">
        <v>188</v>
      </c>
      <c r="F200" s="61"/>
      <c r="G200" s="41">
        <v>3500000</v>
      </c>
      <c r="H200" s="49">
        <f>18795435.28+42500</f>
        <v>18837935.280000001</v>
      </c>
      <c r="I200" s="42">
        <f t="shared" si="6"/>
        <v>-15337935.280000001</v>
      </c>
      <c r="J200" s="43">
        <f t="shared" si="7"/>
        <v>0</v>
      </c>
      <c r="K200" s="68"/>
      <c r="L200" s="68"/>
      <c r="Q200" s="70"/>
    </row>
    <row r="201" spans="1:17" s="69" customFormat="1" x14ac:dyDescent="0.25">
      <c r="A201" s="1">
        <v>4367</v>
      </c>
      <c r="B201" s="57"/>
      <c r="C201" s="58"/>
      <c r="D201" s="58"/>
      <c r="E201" s="104" t="s">
        <v>189</v>
      </c>
      <c r="F201" s="61"/>
      <c r="G201" s="41">
        <v>1500000</v>
      </c>
      <c r="H201" s="49">
        <v>12936943.91</v>
      </c>
      <c r="I201" s="42">
        <f t="shared" si="6"/>
        <v>-11436943.91</v>
      </c>
      <c r="J201" s="43">
        <f t="shared" si="7"/>
        <v>0</v>
      </c>
      <c r="K201" s="68"/>
      <c r="L201" s="68"/>
      <c r="Q201" s="70"/>
    </row>
    <row r="202" spans="1:17" s="69" customFormat="1" x14ac:dyDescent="0.25">
      <c r="A202" s="1">
        <v>4368</v>
      </c>
      <c r="B202" s="57"/>
      <c r="C202" s="58"/>
      <c r="D202" s="58"/>
      <c r="E202" s="104" t="s">
        <v>190</v>
      </c>
      <c r="F202" s="61"/>
      <c r="G202" s="41">
        <v>0</v>
      </c>
      <c r="H202" s="49">
        <v>655412.93999999994</v>
      </c>
      <c r="I202" s="42">
        <f t="shared" si="6"/>
        <v>-655412.93999999994</v>
      </c>
      <c r="J202" s="43">
        <f t="shared" si="7"/>
        <v>0</v>
      </c>
      <c r="K202" s="68"/>
      <c r="L202" s="68"/>
      <c r="Q202" s="70"/>
    </row>
    <row r="203" spans="1:17" s="69" customFormat="1" x14ac:dyDescent="0.25">
      <c r="A203" s="1">
        <v>437</v>
      </c>
      <c r="B203" s="57"/>
      <c r="C203" s="58"/>
      <c r="D203" s="58"/>
      <c r="E203" s="104" t="s">
        <v>191</v>
      </c>
      <c r="F203" s="61"/>
      <c r="G203" s="41">
        <f>+G204</f>
        <v>780000</v>
      </c>
      <c r="H203" s="49">
        <f>+H204</f>
        <v>2141000</v>
      </c>
      <c r="I203" s="42">
        <f t="shared" si="6"/>
        <v>-1361000</v>
      </c>
      <c r="J203" s="43">
        <f t="shared" si="7"/>
        <v>0</v>
      </c>
      <c r="K203" s="68"/>
      <c r="L203" s="68"/>
      <c r="Q203" s="70"/>
    </row>
    <row r="204" spans="1:17" s="69" customFormat="1" x14ac:dyDescent="0.25">
      <c r="A204" s="1">
        <v>4371</v>
      </c>
      <c r="B204" s="57"/>
      <c r="C204" s="58"/>
      <c r="D204" s="58"/>
      <c r="E204" s="104" t="s">
        <v>50</v>
      </c>
      <c r="F204" s="61"/>
      <c r="G204" s="41">
        <f>600000*1.3</f>
        <v>780000</v>
      </c>
      <c r="H204" s="49">
        <v>2141000</v>
      </c>
      <c r="I204" s="42">
        <f t="shared" si="6"/>
        <v>-1361000</v>
      </c>
      <c r="J204" s="43">
        <f t="shared" si="7"/>
        <v>0</v>
      </c>
      <c r="K204" s="68"/>
      <c r="L204" s="68"/>
      <c r="Q204" s="70"/>
    </row>
    <row r="205" spans="1:17" s="65" customFormat="1" x14ac:dyDescent="0.25">
      <c r="A205" s="1">
        <v>44</v>
      </c>
      <c r="B205" s="57"/>
      <c r="C205" s="58"/>
      <c r="D205" s="58" t="s">
        <v>192</v>
      </c>
      <c r="E205" s="58"/>
      <c r="F205" s="61"/>
      <c r="G205" s="41">
        <f>+G206</f>
        <v>27394500</v>
      </c>
      <c r="H205" s="41">
        <f>+H206</f>
        <v>41175558.389999993</v>
      </c>
      <c r="I205" s="42">
        <f t="shared" si="6"/>
        <v>-13781058.389999993</v>
      </c>
      <c r="J205" s="43">
        <f t="shared" si="7"/>
        <v>0</v>
      </c>
      <c r="K205" s="64"/>
      <c r="L205" s="68"/>
      <c r="Q205" s="66"/>
    </row>
    <row r="206" spans="1:17" s="65" customFormat="1" x14ac:dyDescent="0.25">
      <c r="A206" s="1">
        <v>441</v>
      </c>
      <c r="B206" s="57"/>
      <c r="C206" s="58"/>
      <c r="D206" s="58"/>
      <c r="E206" s="62" t="s">
        <v>193</v>
      </c>
      <c r="F206" s="61"/>
      <c r="G206" s="41">
        <f>SUM(G207:G222)</f>
        <v>27394500</v>
      </c>
      <c r="H206" s="41">
        <f>SUM(H207:H222)</f>
        <v>41175558.389999993</v>
      </c>
      <c r="I206" s="42">
        <f t="shared" si="6"/>
        <v>-13781058.389999993</v>
      </c>
      <c r="J206" s="43">
        <f t="shared" si="7"/>
        <v>0</v>
      </c>
      <c r="K206" s="64"/>
      <c r="L206" s="64"/>
      <c r="Q206" s="66"/>
    </row>
    <row r="207" spans="1:17" s="65" customFormat="1" x14ac:dyDescent="0.25">
      <c r="A207" s="1">
        <v>4413</v>
      </c>
      <c r="B207" s="57"/>
      <c r="C207" s="58"/>
      <c r="D207" s="58"/>
      <c r="E207" s="105" t="s">
        <v>194</v>
      </c>
      <c r="F207" s="106"/>
      <c r="G207" s="41">
        <v>7000000</v>
      </c>
      <c r="H207" s="49">
        <v>10874870.640000001</v>
      </c>
      <c r="I207" s="42">
        <f t="shared" si="6"/>
        <v>-3874870.6400000006</v>
      </c>
      <c r="J207" s="43">
        <f t="shared" si="7"/>
        <v>0</v>
      </c>
      <c r="K207" s="64"/>
      <c r="L207" s="64"/>
      <c r="Q207" s="66"/>
    </row>
    <row r="208" spans="1:17" s="65" customFormat="1" x14ac:dyDescent="0.25">
      <c r="A208" s="1">
        <v>4414</v>
      </c>
      <c r="B208" s="107"/>
      <c r="C208" s="108"/>
      <c r="D208" s="108"/>
      <c r="E208" s="109" t="s">
        <v>195</v>
      </c>
      <c r="F208" s="106"/>
      <c r="G208" s="41">
        <f>200000*2*1.3</f>
        <v>520000</v>
      </c>
      <c r="H208" s="49">
        <v>1690647.77</v>
      </c>
      <c r="I208" s="42">
        <f t="shared" si="6"/>
        <v>-1170647.77</v>
      </c>
      <c r="J208" s="43">
        <f t="shared" si="7"/>
        <v>0</v>
      </c>
      <c r="K208" s="64"/>
      <c r="L208" s="64"/>
      <c r="Q208" s="66"/>
    </row>
    <row r="209" spans="1:17" s="65" customFormat="1" x14ac:dyDescent="0.25">
      <c r="A209" s="1">
        <v>4415</v>
      </c>
      <c r="B209" s="57"/>
      <c r="C209" s="58"/>
      <c r="D209" s="108"/>
      <c r="E209" s="105" t="s">
        <v>196</v>
      </c>
      <c r="F209" s="106"/>
      <c r="G209" s="41">
        <v>12000000</v>
      </c>
      <c r="H209" s="49">
        <v>19769100</v>
      </c>
      <c r="I209" s="42">
        <f t="shared" si="6"/>
        <v>-7769100</v>
      </c>
      <c r="J209" s="43">
        <f t="shared" si="7"/>
        <v>0</v>
      </c>
      <c r="K209" s="64"/>
      <c r="L209" s="64"/>
      <c r="Q209" s="66"/>
    </row>
    <row r="210" spans="1:17" s="65" customFormat="1" x14ac:dyDescent="0.25">
      <c r="A210" s="1">
        <v>4416</v>
      </c>
      <c r="B210" s="57"/>
      <c r="C210" s="58"/>
      <c r="D210" s="108"/>
      <c r="E210" s="110" t="s">
        <v>197</v>
      </c>
      <c r="F210" s="106"/>
      <c r="G210" s="41">
        <v>0</v>
      </c>
      <c r="H210" s="49">
        <v>92581</v>
      </c>
      <c r="I210" s="42">
        <f t="shared" si="6"/>
        <v>-92581</v>
      </c>
      <c r="J210" s="43">
        <f t="shared" si="7"/>
        <v>0</v>
      </c>
      <c r="K210" s="64"/>
      <c r="L210" s="64"/>
      <c r="Q210" s="66"/>
    </row>
    <row r="211" spans="1:17" s="65" customFormat="1" x14ac:dyDescent="0.25">
      <c r="A211" s="1">
        <v>4417</v>
      </c>
      <c r="B211" s="57"/>
      <c r="C211" s="58"/>
      <c r="D211" s="47"/>
      <c r="E211" s="111" t="s">
        <v>198</v>
      </c>
      <c r="F211" s="106"/>
      <c r="G211" s="41">
        <v>13000</v>
      </c>
      <c r="H211" s="49"/>
      <c r="I211" s="42">
        <f t="shared" si="6"/>
        <v>0</v>
      </c>
      <c r="J211" s="43">
        <f t="shared" si="7"/>
        <v>13000</v>
      </c>
      <c r="K211" s="64"/>
      <c r="L211" s="64"/>
      <c r="Q211" s="66"/>
    </row>
    <row r="212" spans="1:17" s="65" customFormat="1" x14ac:dyDescent="0.25">
      <c r="A212" s="1">
        <v>4418</v>
      </c>
      <c r="B212" s="57"/>
      <c r="C212" s="58"/>
      <c r="D212" s="108"/>
      <c r="E212" s="105" t="s">
        <v>199</v>
      </c>
      <c r="F212" s="112"/>
      <c r="G212" s="41">
        <f>65000*1.3</f>
        <v>84500</v>
      </c>
      <c r="H212" s="49"/>
      <c r="I212" s="42">
        <f t="shared" si="6"/>
        <v>0</v>
      </c>
      <c r="J212" s="43">
        <f t="shared" si="7"/>
        <v>84500</v>
      </c>
      <c r="K212" s="64"/>
      <c r="L212" s="64"/>
      <c r="Q212" s="66"/>
    </row>
    <row r="213" spans="1:17" s="65" customFormat="1" x14ac:dyDescent="0.25">
      <c r="A213" s="1">
        <v>4420</v>
      </c>
      <c r="B213" s="107"/>
      <c r="C213" s="108"/>
      <c r="D213" s="108"/>
      <c r="E213" s="109" t="s">
        <v>200</v>
      </c>
      <c r="F213" s="113"/>
      <c r="G213" s="41">
        <f>480000*2*1.3</f>
        <v>1248000</v>
      </c>
      <c r="H213" s="49">
        <v>2736000</v>
      </c>
      <c r="I213" s="42">
        <f t="shared" si="6"/>
        <v>-1488000</v>
      </c>
      <c r="J213" s="43">
        <f t="shared" si="7"/>
        <v>0</v>
      </c>
      <c r="K213" s="64"/>
      <c r="L213" s="64"/>
      <c r="Q213" s="66"/>
    </row>
    <row r="214" spans="1:17" s="65" customFormat="1" x14ac:dyDescent="0.25">
      <c r="A214" s="1">
        <v>4424</v>
      </c>
      <c r="B214" s="107"/>
      <c r="C214" s="108"/>
      <c r="D214" s="108"/>
      <c r="E214" s="105" t="s">
        <v>201</v>
      </c>
      <c r="F214" s="113"/>
      <c r="G214" s="41">
        <f>250000*1.3</f>
        <v>325000</v>
      </c>
      <c r="H214" s="49">
        <v>983670</v>
      </c>
      <c r="I214" s="42">
        <f t="shared" si="6"/>
        <v>-658670</v>
      </c>
      <c r="J214" s="43">
        <f t="shared" si="7"/>
        <v>0</v>
      </c>
      <c r="K214" s="64"/>
      <c r="L214" s="64"/>
      <c r="Q214" s="66"/>
    </row>
    <row r="215" spans="1:17" s="65" customFormat="1" x14ac:dyDescent="0.25">
      <c r="A215" s="1">
        <v>4431</v>
      </c>
      <c r="B215" s="107"/>
      <c r="C215" s="108"/>
      <c r="D215" s="108"/>
      <c r="E215" s="105" t="s">
        <v>202</v>
      </c>
      <c r="F215" s="113"/>
      <c r="G215" s="41">
        <f>200000*1.3</f>
        <v>260000</v>
      </c>
      <c r="H215" s="49"/>
      <c r="I215" s="42">
        <f t="shared" si="6"/>
        <v>0</v>
      </c>
      <c r="J215" s="43">
        <f t="shared" si="7"/>
        <v>260000</v>
      </c>
      <c r="K215" s="64"/>
      <c r="L215" s="64"/>
      <c r="Q215" s="66"/>
    </row>
    <row r="216" spans="1:17" s="65" customFormat="1" x14ac:dyDescent="0.25">
      <c r="A216" s="1">
        <v>4432</v>
      </c>
      <c r="B216" s="57"/>
      <c r="C216" s="108"/>
      <c r="D216" s="58"/>
      <c r="E216" s="105" t="s">
        <v>203</v>
      </c>
      <c r="F216" s="113"/>
      <c r="G216" s="41">
        <f>550000*2*1.3</f>
        <v>1430000</v>
      </c>
      <c r="H216" s="49">
        <v>3705226.62</v>
      </c>
      <c r="I216" s="42">
        <f t="shared" si="6"/>
        <v>-2275226.62</v>
      </c>
      <c r="J216" s="43">
        <f t="shared" si="7"/>
        <v>0</v>
      </c>
      <c r="K216" s="64"/>
      <c r="L216" s="64"/>
      <c r="Q216" s="66"/>
    </row>
    <row r="217" spans="1:17" s="65" customFormat="1" x14ac:dyDescent="0.25">
      <c r="A217" s="1">
        <v>4433</v>
      </c>
      <c r="B217" s="107"/>
      <c r="C217" s="108"/>
      <c r="D217" s="108"/>
      <c r="E217" s="110" t="s">
        <v>204</v>
      </c>
      <c r="F217" s="113"/>
      <c r="G217" s="41">
        <v>0</v>
      </c>
      <c r="H217" s="49">
        <v>233973</v>
      </c>
      <c r="I217" s="42">
        <f t="shared" si="6"/>
        <v>-233973</v>
      </c>
      <c r="J217" s="43">
        <f t="shared" si="7"/>
        <v>0</v>
      </c>
      <c r="K217" s="64"/>
      <c r="L217" s="64"/>
      <c r="Q217" s="66"/>
    </row>
    <row r="218" spans="1:17" s="65" customFormat="1" x14ac:dyDescent="0.25">
      <c r="A218" s="1">
        <v>4434</v>
      </c>
      <c r="B218" s="107"/>
      <c r="C218" s="108"/>
      <c r="D218" s="108"/>
      <c r="E218" s="110" t="s">
        <v>205</v>
      </c>
      <c r="F218" s="113"/>
      <c r="G218" s="41">
        <v>500000</v>
      </c>
      <c r="H218" s="49">
        <v>587620</v>
      </c>
      <c r="I218" s="42">
        <f t="shared" si="6"/>
        <v>-87620</v>
      </c>
      <c r="J218" s="43">
        <f t="shared" si="7"/>
        <v>0</v>
      </c>
      <c r="K218" s="64"/>
      <c r="L218" s="64"/>
      <c r="Q218" s="66"/>
    </row>
    <row r="219" spans="1:17" s="65" customFormat="1" x14ac:dyDescent="0.25">
      <c r="A219" s="1">
        <v>4435</v>
      </c>
      <c r="B219" s="107"/>
      <c r="C219" s="108"/>
      <c r="D219" s="108"/>
      <c r="E219" s="110" t="s">
        <v>206</v>
      </c>
      <c r="F219" s="113"/>
      <c r="G219" s="41">
        <f>150000*2*1.3</f>
        <v>390000</v>
      </c>
      <c r="H219" s="49">
        <v>501869.36</v>
      </c>
      <c r="I219" s="42">
        <f t="shared" si="6"/>
        <v>-111869.35999999999</v>
      </c>
      <c r="J219" s="43">
        <f t="shared" si="7"/>
        <v>0</v>
      </c>
      <c r="K219" s="64"/>
      <c r="L219" s="64"/>
      <c r="Q219" s="66"/>
    </row>
    <row r="220" spans="1:17" s="65" customFormat="1" x14ac:dyDescent="0.25">
      <c r="A220" s="1">
        <v>4436</v>
      </c>
      <c r="B220" s="107"/>
      <c r="C220" s="108"/>
      <c r="D220" s="108"/>
      <c r="E220" s="110" t="s">
        <v>207</v>
      </c>
      <c r="F220" s="113"/>
      <c r="G220" s="41">
        <f>130000*1.3</f>
        <v>169000</v>
      </c>
      <c r="H220" s="114"/>
      <c r="I220" s="42">
        <f t="shared" si="6"/>
        <v>0</v>
      </c>
      <c r="J220" s="43">
        <f t="shared" si="7"/>
        <v>169000</v>
      </c>
      <c r="K220" s="64"/>
      <c r="L220" s="64"/>
      <c r="Q220" s="66"/>
    </row>
    <row r="221" spans="1:17" s="65" customFormat="1" x14ac:dyDescent="0.25">
      <c r="A221" s="1">
        <v>4437</v>
      </c>
      <c r="B221" s="107"/>
      <c r="C221" s="108"/>
      <c r="D221" s="108"/>
      <c r="E221" s="110" t="s">
        <v>208</v>
      </c>
      <c r="F221" s="113"/>
      <c r="G221" s="41">
        <f>350000*1.3</f>
        <v>455000</v>
      </c>
      <c r="H221" s="114"/>
      <c r="I221" s="42">
        <f t="shared" si="6"/>
        <v>0</v>
      </c>
      <c r="J221" s="43">
        <f t="shared" si="7"/>
        <v>455000</v>
      </c>
      <c r="K221" s="64"/>
      <c r="L221" s="64"/>
      <c r="Q221" s="66"/>
    </row>
    <row r="222" spans="1:17" s="65" customFormat="1" ht="15.75" thickBot="1" x14ac:dyDescent="0.3">
      <c r="A222" s="1">
        <v>4438</v>
      </c>
      <c r="B222" s="107"/>
      <c r="C222" s="108"/>
      <c r="D222" s="108"/>
      <c r="E222" s="111" t="s">
        <v>209</v>
      </c>
      <c r="F222" s="113"/>
      <c r="G222" s="41">
        <v>3000000</v>
      </c>
      <c r="H222" s="114"/>
      <c r="I222" s="42">
        <f t="shared" si="6"/>
        <v>0</v>
      </c>
      <c r="J222" s="43">
        <f t="shared" si="7"/>
        <v>3000000</v>
      </c>
      <c r="K222" s="64"/>
      <c r="L222" s="64"/>
      <c r="Q222" s="66"/>
    </row>
    <row r="223" spans="1:17" s="65" customFormat="1" x14ac:dyDescent="0.25">
      <c r="A223" s="1"/>
      <c r="B223" s="115" t="s">
        <v>210</v>
      </c>
      <c r="C223" s="116"/>
      <c r="D223" s="116"/>
      <c r="E223" s="117"/>
      <c r="F223" s="118"/>
      <c r="G223" s="41"/>
      <c r="H223" s="119"/>
      <c r="I223" s="42">
        <f t="shared" si="6"/>
        <v>0</v>
      </c>
      <c r="J223" s="43">
        <f t="shared" si="7"/>
        <v>0</v>
      </c>
      <c r="K223" s="64"/>
      <c r="L223" s="64"/>
      <c r="Q223" s="66"/>
    </row>
    <row r="224" spans="1:17" ht="15.75" thickBot="1" x14ac:dyDescent="0.3">
      <c r="A224" s="1"/>
      <c r="B224" s="120" t="s">
        <v>211</v>
      </c>
      <c r="C224" s="121"/>
      <c r="D224" s="121"/>
      <c r="E224" s="122"/>
      <c r="F224" s="123"/>
      <c r="G224" s="41">
        <f>+G6-G107</f>
        <v>-2327959.9399999976</v>
      </c>
      <c r="H224" s="41">
        <f>+H6-H107</f>
        <v>39895711.139999926</v>
      </c>
      <c r="I224" s="42">
        <f t="shared" si="6"/>
        <v>-42223671.079999924</v>
      </c>
      <c r="J224" s="43">
        <f t="shared" si="7"/>
        <v>0</v>
      </c>
      <c r="K224" s="45"/>
      <c r="L224" s="45"/>
    </row>
    <row r="225" spans="1:17" s="127" customFormat="1" x14ac:dyDescent="0.25">
      <c r="A225" s="124">
        <v>2</v>
      </c>
      <c r="B225" s="38" t="s">
        <v>212</v>
      </c>
      <c r="C225" s="39"/>
      <c r="D225" s="39"/>
      <c r="E225" s="125"/>
      <c r="F225" s="40"/>
      <c r="G225" s="41">
        <f>+G228+G226</f>
        <v>309560000</v>
      </c>
      <c r="H225" s="41">
        <f>+H228+H226</f>
        <v>66530153.75</v>
      </c>
      <c r="I225" s="42">
        <f t="shared" si="6"/>
        <v>0</v>
      </c>
      <c r="J225" s="43">
        <f t="shared" si="7"/>
        <v>243029846.25</v>
      </c>
      <c r="K225" s="126"/>
      <c r="L225" s="126"/>
      <c r="Q225" s="128"/>
    </row>
    <row r="226" spans="1:17" x14ac:dyDescent="0.25">
      <c r="A226" s="1">
        <v>21</v>
      </c>
      <c r="B226" s="57"/>
      <c r="C226" s="58"/>
      <c r="D226" s="58" t="s">
        <v>213</v>
      </c>
      <c r="E226" s="99"/>
      <c r="F226" s="61"/>
      <c r="G226" s="41">
        <f>+G227</f>
        <v>1040000</v>
      </c>
      <c r="H226" s="41">
        <f>+H227</f>
        <v>720309.78</v>
      </c>
      <c r="I226" s="42">
        <f t="shared" si="6"/>
        <v>0</v>
      </c>
      <c r="J226" s="43">
        <f t="shared" si="7"/>
        <v>319690.21999999997</v>
      </c>
      <c r="K226" s="45"/>
      <c r="L226" s="45"/>
    </row>
    <row r="227" spans="1:17" x14ac:dyDescent="0.25">
      <c r="A227" s="1">
        <v>21101</v>
      </c>
      <c r="B227" s="57"/>
      <c r="C227" s="58"/>
      <c r="D227" s="58"/>
      <c r="E227" s="129" t="s">
        <v>214</v>
      </c>
      <c r="F227" s="61"/>
      <c r="G227" s="41">
        <f>400000*2*1.3</f>
        <v>1040000</v>
      </c>
      <c r="H227" s="49">
        <v>720309.78</v>
      </c>
      <c r="I227" s="42">
        <f t="shared" si="6"/>
        <v>0</v>
      </c>
      <c r="J227" s="43">
        <f t="shared" si="7"/>
        <v>319690.21999999997</v>
      </c>
      <c r="K227" s="45"/>
      <c r="L227" s="45"/>
    </row>
    <row r="228" spans="1:17" s="65" customFormat="1" x14ac:dyDescent="0.25">
      <c r="A228" s="1">
        <v>22</v>
      </c>
      <c r="B228" s="57"/>
      <c r="C228" s="58"/>
      <c r="D228" s="58" t="s">
        <v>215</v>
      </c>
      <c r="E228" s="99"/>
      <c r="F228" s="61"/>
      <c r="G228" s="41">
        <f>+G229+G233</f>
        <v>308520000</v>
      </c>
      <c r="H228" s="41">
        <f>+H229+H233</f>
        <v>65809843.969999999</v>
      </c>
      <c r="I228" s="42">
        <f t="shared" si="6"/>
        <v>0</v>
      </c>
      <c r="J228" s="43">
        <f t="shared" si="7"/>
        <v>242710156.03</v>
      </c>
      <c r="K228" s="64"/>
      <c r="L228" s="64"/>
      <c r="Q228" s="66"/>
    </row>
    <row r="229" spans="1:17" s="65" customFormat="1" x14ac:dyDescent="0.25">
      <c r="A229" s="1">
        <v>222</v>
      </c>
      <c r="B229" s="57"/>
      <c r="C229" s="58"/>
      <c r="D229" s="58"/>
      <c r="E229" s="99" t="s">
        <v>216</v>
      </c>
      <c r="F229" s="61"/>
      <c r="G229" s="41">
        <f>+G230</f>
        <v>60000000</v>
      </c>
      <c r="H229" s="41">
        <f>+H230</f>
        <v>20090587.82</v>
      </c>
      <c r="I229" s="42">
        <f t="shared" si="6"/>
        <v>0</v>
      </c>
      <c r="J229" s="43">
        <f t="shared" si="7"/>
        <v>39909412.18</v>
      </c>
      <c r="K229" s="64"/>
      <c r="L229" s="64"/>
      <c r="Q229" s="66"/>
    </row>
    <row r="230" spans="1:17" s="65" customFormat="1" x14ac:dyDescent="0.25">
      <c r="A230" s="1">
        <v>2221</v>
      </c>
      <c r="B230" s="57"/>
      <c r="C230" s="58"/>
      <c r="D230" s="58"/>
      <c r="E230" s="99" t="s">
        <v>217</v>
      </c>
      <c r="F230" s="61"/>
      <c r="G230" s="41">
        <f>+G231+G232</f>
        <v>60000000</v>
      </c>
      <c r="H230" s="41">
        <f>+H231+H232</f>
        <v>20090587.82</v>
      </c>
      <c r="I230" s="42">
        <f t="shared" si="6"/>
        <v>0</v>
      </c>
      <c r="J230" s="43">
        <f t="shared" si="7"/>
        <v>39909412.18</v>
      </c>
      <c r="K230" s="64"/>
      <c r="L230" s="64"/>
      <c r="Q230" s="66"/>
    </row>
    <row r="231" spans="1:17" s="65" customFormat="1" x14ac:dyDescent="0.25">
      <c r="A231" s="1">
        <v>22211</v>
      </c>
      <c r="B231" s="57"/>
      <c r="C231" s="58"/>
      <c r="D231" s="58"/>
      <c r="E231" s="129" t="s">
        <v>218</v>
      </c>
      <c r="F231" s="61"/>
      <c r="G231" s="41">
        <v>50000000</v>
      </c>
      <c r="H231" s="49">
        <v>10615966.34</v>
      </c>
      <c r="I231" s="42">
        <f t="shared" si="6"/>
        <v>0</v>
      </c>
      <c r="J231" s="43">
        <f t="shared" si="7"/>
        <v>39384033.659999996</v>
      </c>
      <c r="K231" s="64"/>
      <c r="L231" s="64"/>
      <c r="Q231" s="66"/>
    </row>
    <row r="232" spans="1:17" s="65" customFormat="1" x14ac:dyDescent="0.25">
      <c r="A232" s="1">
        <v>22212</v>
      </c>
      <c r="B232" s="57"/>
      <c r="C232" s="58"/>
      <c r="D232" s="58"/>
      <c r="E232" s="129" t="s">
        <v>219</v>
      </c>
      <c r="F232" s="61"/>
      <c r="G232" s="41">
        <v>10000000</v>
      </c>
      <c r="H232" s="49">
        <v>9474621.4800000004</v>
      </c>
      <c r="I232" s="42">
        <f t="shared" si="6"/>
        <v>0</v>
      </c>
      <c r="J232" s="43">
        <f t="shared" si="7"/>
        <v>525378.51999999955</v>
      </c>
      <c r="K232" s="64"/>
      <c r="L232" s="64"/>
      <c r="Q232" s="66"/>
    </row>
    <row r="233" spans="1:17" s="65" customFormat="1" x14ac:dyDescent="0.25">
      <c r="A233" s="1">
        <v>223</v>
      </c>
      <c r="B233" s="57"/>
      <c r="C233" s="58"/>
      <c r="D233" s="58"/>
      <c r="E233" s="99" t="s">
        <v>96</v>
      </c>
      <c r="F233" s="61"/>
      <c r="G233" s="103">
        <f>+G234</f>
        <v>248520000</v>
      </c>
      <c r="H233" s="103">
        <f>+H234</f>
        <v>45719256.149999999</v>
      </c>
      <c r="I233" s="42">
        <f t="shared" si="6"/>
        <v>0</v>
      </c>
      <c r="J233" s="43">
        <f t="shared" si="7"/>
        <v>202800743.84999999</v>
      </c>
      <c r="K233" s="64"/>
      <c r="L233" s="64"/>
      <c r="Q233" s="66"/>
    </row>
    <row r="234" spans="1:17" s="65" customFormat="1" x14ac:dyDescent="0.25">
      <c r="A234" s="1">
        <v>2231</v>
      </c>
      <c r="B234" s="57"/>
      <c r="C234" s="58"/>
      <c r="D234" s="58"/>
      <c r="E234" s="99" t="s">
        <v>220</v>
      </c>
      <c r="F234" s="61"/>
      <c r="G234" s="103">
        <f>+G243+G235+G236+G239+G237+G238+G240+G241+G242+G246</f>
        <v>248520000</v>
      </c>
      <c r="H234" s="103">
        <f>+H243+H235+H236+H239+H237+H238+H240+H241+H242+H244+H245+H246</f>
        <v>45719256.149999999</v>
      </c>
      <c r="I234" s="42">
        <f t="shared" si="6"/>
        <v>0</v>
      </c>
      <c r="J234" s="43">
        <f t="shared" si="7"/>
        <v>202800743.84999999</v>
      </c>
      <c r="K234" s="64"/>
      <c r="L234" s="64"/>
      <c r="Q234" s="66"/>
    </row>
    <row r="235" spans="1:17" s="65" customFormat="1" x14ac:dyDescent="0.25">
      <c r="A235" s="1">
        <v>22311</v>
      </c>
      <c r="B235" s="57"/>
      <c r="C235" s="58"/>
      <c r="D235" s="58"/>
      <c r="E235" s="129" t="s">
        <v>221</v>
      </c>
      <c r="F235" s="61"/>
      <c r="G235" s="103">
        <f>700000*2*1.3</f>
        <v>1820000</v>
      </c>
      <c r="H235" s="49">
        <v>3862088.63</v>
      </c>
      <c r="I235" s="42">
        <f t="shared" si="6"/>
        <v>-2042088.63</v>
      </c>
      <c r="J235" s="43">
        <f t="shared" si="7"/>
        <v>0</v>
      </c>
      <c r="K235" s="64"/>
      <c r="L235" s="64"/>
      <c r="Q235" s="66"/>
    </row>
    <row r="236" spans="1:17" s="65" customFormat="1" x14ac:dyDescent="0.25">
      <c r="A236" s="1">
        <f>+A235+1</f>
        <v>22312</v>
      </c>
      <c r="B236" s="57"/>
      <c r="C236" s="58"/>
      <c r="D236" s="58"/>
      <c r="E236" s="129" t="s">
        <v>222</v>
      </c>
      <c r="F236" s="61"/>
      <c r="G236" s="103">
        <v>102700000</v>
      </c>
      <c r="H236" s="49"/>
      <c r="I236" s="42">
        <f t="shared" si="6"/>
        <v>0</v>
      </c>
      <c r="J236" s="43">
        <f t="shared" si="7"/>
        <v>102700000</v>
      </c>
      <c r="K236" s="64"/>
      <c r="L236" s="64"/>
      <c r="Q236" s="66"/>
    </row>
    <row r="237" spans="1:17" s="65" customFormat="1" x14ac:dyDescent="0.25">
      <c r="A237" s="1">
        <f t="shared" ref="A237:A242" si="8">+A236+1</f>
        <v>22313</v>
      </c>
      <c r="B237" s="57"/>
      <c r="C237" s="58"/>
      <c r="D237" s="58"/>
      <c r="E237" s="129" t="s">
        <v>223</v>
      </c>
      <c r="F237" s="61"/>
      <c r="G237" s="103">
        <v>40000000</v>
      </c>
      <c r="H237" s="49"/>
      <c r="I237" s="42">
        <f t="shared" si="6"/>
        <v>0</v>
      </c>
      <c r="J237" s="43">
        <f t="shared" si="7"/>
        <v>40000000</v>
      </c>
      <c r="K237" s="64"/>
      <c r="L237" s="64"/>
      <c r="Q237" s="66"/>
    </row>
    <row r="238" spans="1:17" s="65" customFormat="1" x14ac:dyDescent="0.25">
      <c r="A238" s="1">
        <f t="shared" si="8"/>
        <v>22314</v>
      </c>
      <c r="B238" s="57"/>
      <c r="C238" s="58"/>
      <c r="D238" s="58"/>
      <c r="E238" s="129" t="s">
        <v>224</v>
      </c>
      <c r="F238" s="61"/>
      <c r="G238" s="103">
        <v>50000000</v>
      </c>
      <c r="H238" s="49">
        <v>23735993.309999999</v>
      </c>
      <c r="I238" s="42">
        <f t="shared" si="6"/>
        <v>0</v>
      </c>
      <c r="J238" s="43">
        <f t="shared" si="7"/>
        <v>26264006.690000001</v>
      </c>
      <c r="K238" s="64"/>
      <c r="L238" s="64"/>
      <c r="Q238" s="66"/>
    </row>
    <row r="239" spans="1:17" s="65" customFormat="1" x14ac:dyDescent="0.25">
      <c r="A239" s="1">
        <f t="shared" si="8"/>
        <v>22315</v>
      </c>
      <c r="B239" s="57"/>
      <c r="C239" s="58"/>
      <c r="D239" s="58"/>
      <c r="E239" s="129" t="s">
        <v>225</v>
      </c>
      <c r="F239" s="61"/>
      <c r="G239" s="103">
        <v>20000000</v>
      </c>
      <c r="H239" s="49">
        <v>7313216.9199999999</v>
      </c>
      <c r="I239" s="42">
        <f t="shared" si="6"/>
        <v>0</v>
      </c>
      <c r="J239" s="43">
        <f t="shared" si="7"/>
        <v>12686783.08</v>
      </c>
      <c r="K239" s="64"/>
      <c r="L239" s="64"/>
      <c r="Q239" s="66"/>
    </row>
    <row r="240" spans="1:17" s="65" customFormat="1" x14ac:dyDescent="0.25">
      <c r="A240" s="1">
        <f t="shared" si="8"/>
        <v>22316</v>
      </c>
      <c r="B240" s="57"/>
      <c r="C240" s="58"/>
      <c r="D240" s="58"/>
      <c r="E240" s="129" t="s">
        <v>226</v>
      </c>
      <c r="F240" s="61"/>
      <c r="G240" s="103">
        <v>7000000</v>
      </c>
      <c r="H240" s="49"/>
      <c r="I240" s="42">
        <f t="shared" si="6"/>
        <v>0</v>
      </c>
      <c r="J240" s="43">
        <f t="shared" si="7"/>
        <v>7000000</v>
      </c>
      <c r="K240" s="64"/>
      <c r="L240" s="64"/>
      <c r="Q240" s="66"/>
    </row>
    <row r="241" spans="1:17" s="65" customFormat="1" x14ac:dyDescent="0.25">
      <c r="A241" s="1">
        <f t="shared" si="8"/>
        <v>22317</v>
      </c>
      <c r="B241" s="57"/>
      <c r="C241" s="58"/>
      <c r="D241" s="58"/>
      <c r="E241" s="129" t="s">
        <v>227</v>
      </c>
      <c r="F241" s="61"/>
      <c r="G241" s="103">
        <v>10000000</v>
      </c>
      <c r="H241" s="49"/>
      <c r="I241" s="42">
        <f t="shared" si="6"/>
        <v>0</v>
      </c>
      <c r="J241" s="43">
        <f t="shared" si="7"/>
        <v>10000000</v>
      </c>
      <c r="K241" s="130"/>
      <c r="L241" s="64"/>
      <c r="Q241" s="66"/>
    </row>
    <row r="242" spans="1:17" s="65" customFormat="1" x14ac:dyDescent="0.25">
      <c r="A242" s="1">
        <f t="shared" si="8"/>
        <v>22318</v>
      </c>
      <c r="B242" s="57"/>
      <c r="C242" s="58"/>
      <c r="D242" s="58"/>
      <c r="E242" s="129" t="s">
        <v>228</v>
      </c>
      <c r="F242" s="61"/>
      <c r="G242" s="103">
        <v>5000000</v>
      </c>
      <c r="H242" s="49"/>
      <c r="I242" s="42">
        <f t="shared" si="6"/>
        <v>0</v>
      </c>
      <c r="J242" s="43">
        <f t="shared" si="7"/>
        <v>5000000</v>
      </c>
      <c r="K242" s="130"/>
      <c r="L242" s="64"/>
      <c r="Q242" s="66"/>
    </row>
    <row r="243" spans="1:17" s="65" customFormat="1" x14ac:dyDescent="0.25">
      <c r="A243" s="1">
        <v>22319</v>
      </c>
      <c r="B243" s="57"/>
      <c r="C243" s="58"/>
      <c r="D243" s="58"/>
      <c r="E243" s="129" t="s">
        <v>229</v>
      </c>
      <c r="F243" s="61"/>
      <c r="G243" s="103">
        <v>0</v>
      </c>
      <c r="H243" s="49">
        <v>1749600</v>
      </c>
      <c r="I243" s="42">
        <f t="shared" si="6"/>
        <v>-1749600</v>
      </c>
      <c r="J243" s="43">
        <f t="shared" si="7"/>
        <v>0</v>
      </c>
      <c r="K243" s="64"/>
      <c r="L243" s="64"/>
      <c r="Q243" s="66"/>
    </row>
    <row r="244" spans="1:17" s="65" customFormat="1" x14ac:dyDescent="0.25">
      <c r="A244" s="1">
        <v>22320</v>
      </c>
      <c r="B244" s="57"/>
      <c r="C244" s="58"/>
      <c r="D244" s="58"/>
      <c r="E244" s="129" t="s">
        <v>230</v>
      </c>
      <c r="F244" s="61"/>
      <c r="G244" s="103">
        <v>0</v>
      </c>
      <c r="H244" s="49">
        <v>6058357.29</v>
      </c>
      <c r="I244" s="42">
        <f t="shared" si="6"/>
        <v>-6058357.29</v>
      </c>
      <c r="J244" s="43">
        <f t="shared" si="7"/>
        <v>0</v>
      </c>
      <c r="K244" s="64"/>
      <c r="L244" s="64"/>
      <c r="Q244" s="66"/>
    </row>
    <row r="245" spans="1:17" s="65" customFormat="1" x14ac:dyDescent="0.25">
      <c r="A245" s="1">
        <v>22321</v>
      </c>
      <c r="B245" s="57"/>
      <c r="C245" s="58"/>
      <c r="D245" s="58"/>
      <c r="E245" s="129" t="s">
        <v>231</v>
      </c>
      <c r="F245" s="61"/>
      <c r="G245" s="103">
        <v>0</v>
      </c>
      <c r="H245" s="49">
        <v>3000000</v>
      </c>
      <c r="I245" s="42">
        <f t="shared" si="6"/>
        <v>-3000000</v>
      </c>
      <c r="J245" s="43">
        <f t="shared" si="7"/>
        <v>0</v>
      </c>
      <c r="K245" s="64"/>
      <c r="L245" s="64"/>
      <c r="Q245" s="66"/>
    </row>
    <row r="246" spans="1:17" s="65" customFormat="1" x14ac:dyDescent="0.25">
      <c r="A246" s="1">
        <v>22322</v>
      </c>
      <c r="B246" s="57"/>
      <c r="C246" s="58"/>
      <c r="D246" s="58"/>
      <c r="E246" s="129" t="s">
        <v>232</v>
      </c>
      <c r="F246" s="61"/>
      <c r="G246" s="41">
        <v>12000000</v>
      </c>
      <c r="H246" s="49"/>
      <c r="I246" s="42">
        <f t="shared" si="6"/>
        <v>0</v>
      </c>
      <c r="J246" s="43">
        <f t="shared" si="7"/>
        <v>12000000</v>
      </c>
      <c r="K246" s="64"/>
      <c r="L246" s="64"/>
      <c r="Q246" s="66"/>
    </row>
    <row r="247" spans="1:17" s="69" customFormat="1" x14ac:dyDescent="0.25">
      <c r="A247" s="1">
        <v>6</v>
      </c>
      <c r="B247" s="57" t="s">
        <v>233</v>
      </c>
      <c r="C247" s="58"/>
      <c r="D247" s="58"/>
      <c r="E247" s="99"/>
      <c r="F247" s="61"/>
      <c r="G247" s="41">
        <f>+G248</f>
        <v>288870000</v>
      </c>
      <c r="H247" s="41">
        <f>+H248</f>
        <v>150850819.20999998</v>
      </c>
      <c r="I247" s="42">
        <f t="shared" si="6"/>
        <v>0</v>
      </c>
      <c r="J247" s="43">
        <f t="shared" si="7"/>
        <v>138019180.79000002</v>
      </c>
      <c r="K247" s="68"/>
      <c r="L247" s="68"/>
      <c r="Q247" s="70"/>
    </row>
    <row r="248" spans="1:17" x14ac:dyDescent="0.25">
      <c r="A248" s="1">
        <v>61</v>
      </c>
      <c r="B248" s="57"/>
      <c r="C248" s="58"/>
      <c r="D248" s="58" t="s">
        <v>234</v>
      </c>
      <c r="E248" s="99"/>
      <c r="F248" s="61"/>
      <c r="G248" s="41">
        <f>+G249+G262</f>
        <v>288870000</v>
      </c>
      <c r="H248" s="41">
        <f>+H249+H262</f>
        <v>150850819.20999998</v>
      </c>
      <c r="I248" s="42">
        <f t="shared" si="6"/>
        <v>0</v>
      </c>
      <c r="J248" s="43">
        <f t="shared" si="7"/>
        <v>138019180.79000002</v>
      </c>
      <c r="K248" s="45"/>
      <c r="L248" s="45"/>
    </row>
    <row r="249" spans="1:17" s="132" customFormat="1" x14ac:dyDescent="0.25">
      <c r="A249" s="1">
        <v>611</v>
      </c>
      <c r="B249" s="57"/>
      <c r="C249" s="58"/>
      <c r="D249" s="58" t="s">
        <v>235</v>
      </c>
      <c r="E249" s="99"/>
      <c r="F249" s="61"/>
      <c r="G249" s="41">
        <f>+G251+G254+G255+G256+G257</f>
        <v>10250000</v>
      </c>
      <c r="H249" s="41">
        <f>+H251+H254+H255+H256+H257</f>
        <v>34753600.109999999</v>
      </c>
      <c r="I249" s="42">
        <f t="shared" si="6"/>
        <v>-24503600.109999999</v>
      </c>
      <c r="J249" s="43">
        <f t="shared" si="7"/>
        <v>0</v>
      </c>
      <c r="K249" s="131"/>
      <c r="L249" s="131"/>
      <c r="Q249" s="133"/>
    </row>
    <row r="250" spans="1:17" s="132" customFormat="1" x14ac:dyDescent="0.25">
      <c r="A250" s="1"/>
      <c r="B250" s="57"/>
      <c r="C250" s="58"/>
      <c r="D250" s="58"/>
      <c r="E250" s="99" t="s">
        <v>236</v>
      </c>
      <c r="F250" s="61"/>
      <c r="G250" s="41"/>
      <c r="H250" s="91"/>
      <c r="I250" s="42">
        <f t="shared" si="6"/>
        <v>0</v>
      </c>
      <c r="J250" s="43">
        <f t="shared" si="7"/>
        <v>0</v>
      </c>
      <c r="K250" s="131"/>
      <c r="L250" s="131"/>
      <c r="Q250" s="133"/>
    </row>
    <row r="251" spans="1:17" s="132" customFormat="1" x14ac:dyDescent="0.25">
      <c r="A251" s="1">
        <v>61113</v>
      </c>
      <c r="B251" s="57"/>
      <c r="C251" s="58"/>
      <c r="D251" s="58"/>
      <c r="E251" s="129" t="s">
        <v>237</v>
      </c>
      <c r="F251" s="61"/>
      <c r="G251" s="41">
        <f>250000*1.3</f>
        <v>325000</v>
      </c>
      <c r="H251" s="49">
        <v>2356916.88</v>
      </c>
      <c r="I251" s="42">
        <f t="shared" si="6"/>
        <v>-2031916.88</v>
      </c>
      <c r="J251" s="43">
        <f t="shared" si="7"/>
        <v>0</v>
      </c>
      <c r="K251" s="131"/>
      <c r="L251" s="131"/>
      <c r="Q251" s="133"/>
    </row>
    <row r="252" spans="1:17" s="132" customFormat="1" x14ac:dyDescent="0.25">
      <c r="A252" s="1"/>
      <c r="B252" s="57"/>
      <c r="C252" s="58"/>
      <c r="D252" s="58"/>
      <c r="E252" s="129"/>
      <c r="F252" s="61"/>
      <c r="G252" s="41"/>
      <c r="H252" s="49"/>
      <c r="I252" s="42">
        <f t="shared" si="6"/>
        <v>0</v>
      </c>
      <c r="J252" s="43">
        <f t="shared" si="7"/>
        <v>0</v>
      </c>
      <c r="K252" s="131"/>
      <c r="L252" s="131"/>
      <c r="Q252" s="133"/>
    </row>
    <row r="253" spans="1:17" s="132" customFormat="1" x14ac:dyDescent="0.25">
      <c r="A253" s="1"/>
      <c r="B253" s="57"/>
      <c r="C253" s="58"/>
      <c r="D253" s="58"/>
      <c r="E253" s="129"/>
      <c r="F253" s="61"/>
      <c r="G253" s="41"/>
      <c r="H253" s="49"/>
      <c r="I253" s="42">
        <f t="shared" si="6"/>
        <v>0</v>
      </c>
      <c r="J253" s="43">
        <f t="shared" si="7"/>
        <v>0</v>
      </c>
      <c r="K253" s="131"/>
      <c r="L253" s="131"/>
      <c r="Q253" s="133"/>
    </row>
    <row r="254" spans="1:17" s="132" customFormat="1" x14ac:dyDescent="0.25">
      <c r="A254" s="1">
        <v>61114</v>
      </c>
      <c r="B254" s="57"/>
      <c r="C254" s="58"/>
      <c r="D254" s="58"/>
      <c r="E254" s="129" t="s">
        <v>238</v>
      </c>
      <c r="F254" s="61"/>
      <c r="G254" s="41">
        <f>450000*2*1.3</f>
        <v>1170000</v>
      </c>
      <c r="H254" s="49">
        <f>8700+533636.22</f>
        <v>542336.22</v>
      </c>
      <c r="I254" s="42">
        <f t="shared" si="6"/>
        <v>0</v>
      </c>
      <c r="J254" s="43">
        <f t="shared" si="7"/>
        <v>627663.78</v>
      </c>
      <c r="K254" s="131"/>
      <c r="L254" s="131"/>
      <c r="Q254" s="133"/>
    </row>
    <row r="255" spans="1:17" s="132" customFormat="1" x14ac:dyDescent="0.25">
      <c r="A255" s="1">
        <v>61115</v>
      </c>
      <c r="B255" s="57"/>
      <c r="C255" s="58"/>
      <c r="D255" s="58"/>
      <c r="E255" s="129" t="s">
        <v>239</v>
      </c>
      <c r="F255" s="61"/>
      <c r="G255" s="76">
        <f>175000*2*1.3</f>
        <v>455000</v>
      </c>
      <c r="H255" s="49">
        <v>3085899</v>
      </c>
      <c r="I255" s="42">
        <f t="shared" si="6"/>
        <v>-2630899</v>
      </c>
      <c r="J255" s="43">
        <f t="shared" si="7"/>
        <v>0</v>
      </c>
      <c r="K255" s="131"/>
      <c r="L255" s="131"/>
      <c r="Q255" s="133"/>
    </row>
    <row r="256" spans="1:17" s="132" customFormat="1" x14ac:dyDescent="0.25">
      <c r="A256" s="1">
        <v>61116</v>
      </c>
      <c r="B256" s="57"/>
      <c r="C256" s="58"/>
      <c r="D256" s="58"/>
      <c r="E256" s="129" t="s">
        <v>240</v>
      </c>
      <c r="F256" s="61"/>
      <c r="G256" s="41">
        <v>7000000</v>
      </c>
      <c r="H256" s="49">
        <v>27699890</v>
      </c>
      <c r="I256" s="42">
        <f t="shared" si="6"/>
        <v>-20699890</v>
      </c>
      <c r="J256" s="43">
        <f t="shared" si="7"/>
        <v>0</v>
      </c>
      <c r="K256" s="131"/>
      <c r="L256" s="131"/>
      <c r="Q256" s="133"/>
    </row>
    <row r="257" spans="1:17" s="132" customFormat="1" x14ac:dyDescent="0.25">
      <c r="A257" s="1">
        <v>61117</v>
      </c>
      <c r="B257" s="57"/>
      <c r="C257" s="58"/>
      <c r="D257" s="58"/>
      <c r="E257" s="129" t="s">
        <v>241</v>
      </c>
      <c r="F257" s="61"/>
      <c r="G257" s="41">
        <f>500000*2*1.3</f>
        <v>1300000</v>
      </c>
      <c r="H257" s="49">
        <v>1068558.01</v>
      </c>
      <c r="I257" s="42">
        <f t="shared" si="6"/>
        <v>0</v>
      </c>
      <c r="J257" s="43">
        <f t="shared" si="7"/>
        <v>231441.99</v>
      </c>
      <c r="K257" s="131"/>
      <c r="L257" s="131"/>
      <c r="Q257" s="133"/>
    </row>
    <row r="258" spans="1:17" s="132" customFormat="1" x14ac:dyDescent="0.25">
      <c r="A258" s="1"/>
      <c r="B258" s="57"/>
      <c r="C258" s="58"/>
      <c r="D258" s="58"/>
      <c r="E258" s="99" t="s">
        <v>242</v>
      </c>
      <c r="F258" s="61"/>
      <c r="G258" s="41"/>
      <c r="H258" s="91"/>
      <c r="I258" s="42">
        <f t="shared" si="6"/>
        <v>0</v>
      </c>
      <c r="J258" s="43">
        <f t="shared" si="7"/>
        <v>0</v>
      </c>
      <c r="K258" s="131"/>
      <c r="L258" s="131"/>
      <c r="Q258" s="133"/>
    </row>
    <row r="259" spans="1:17" s="132" customFormat="1" x14ac:dyDescent="0.25">
      <c r="A259" s="1"/>
      <c r="B259" s="57"/>
      <c r="C259" s="58"/>
      <c r="D259" s="58"/>
      <c r="E259" s="99" t="s">
        <v>243</v>
      </c>
      <c r="F259" s="61"/>
      <c r="G259" s="41"/>
      <c r="H259" s="91"/>
      <c r="I259" s="42">
        <f t="shared" si="6"/>
        <v>0</v>
      </c>
      <c r="J259" s="43">
        <f t="shared" si="7"/>
        <v>0</v>
      </c>
      <c r="K259" s="131"/>
      <c r="L259" s="131"/>
      <c r="Q259" s="133"/>
    </row>
    <row r="260" spans="1:17" s="132" customFormat="1" x14ac:dyDescent="0.25">
      <c r="A260" s="1"/>
      <c r="B260" s="57"/>
      <c r="C260" s="58"/>
      <c r="D260" s="58"/>
      <c r="E260" s="99" t="s">
        <v>244</v>
      </c>
      <c r="F260" s="61"/>
      <c r="G260" s="41"/>
      <c r="H260" s="91"/>
      <c r="I260" s="42">
        <f t="shared" si="6"/>
        <v>0</v>
      </c>
      <c r="J260" s="43">
        <f t="shared" si="7"/>
        <v>0</v>
      </c>
      <c r="K260" s="131"/>
      <c r="L260" s="131"/>
      <c r="Q260" s="133"/>
    </row>
    <row r="261" spans="1:17" s="132" customFormat="1" x14ac:dyDescent="0.25">
      <c r="A261" s="1"/>
      <c r="B261" s="57"/>
      <c r="C261" s="58"/>
      <c r="D261" s="58"/>
      <c r="E261" s="99" t="s">
        <v>245</v>
      </c>
      <c r="F261" s="61"/>
      <c r="G261" s="41"/>
      <c r="H261" s="91"/>
      <c r="I261" s="42">
        <f t="shared" si="6"/>
        <v>0</v>
      </c>
      <c r="J261" s="43">
        <f t="shared" si="7"/>
        <v>0</v>
      </c>
      <c r="K261" s="131"/>
      <c r="L261" s="131"/>
      <c r="Q261" s="133"/>
    </row>
    <row r="262" spans="1:17" s="132" customFormat="1" x14ac:dyDescent="0.25">
      <c r="A262" s="1">
        <v>612</v>
      </c>
      <c r="B262" s="57"/>
      <c r="C262" s="58"/>
      <c r="D262" s="58"/>
      <c r="E262" s="99" t="s">
        <v>246</v>
      </c>
      <c r="F262" s="61"/>
      <c r="G262" s="41">
        <f>SUM(G264:G308)</f>
        <v>278620000</v>
      </c>
      <c r="H262" s="41">
        <f>SUM(H264:H331)</f>
        <v>116097219.09999998</v>
      </c>
      <c r="I262" s="42">
        <f t="shared" si="6"/>
        <v>0</v>
      </c>
      <c r="J262" s="43">
        <f t="shared" si="7"/>
        <v>162522780.90000004</v>
      </c>
      <c r="K262" s="131"/>
      <c r="L262" s="134"/>
      <c r="Q262" s="133"/>
    </row>
    <row r="263" spans="1:17" s="65" customFormat="1" x14ac:dyDescent="0.25">
      <c r="A263" s="1"/>
      <c r="B263" s="57"/>
      <c r="C263" s="58"/>
      <c r="D263" s="58"/>
      <c r="E263" s="99"/>
      <c r="F263" s="61"/>
      <c r="G263" s="41"/>
      <c r="H263" s="41"/>
      <c r="I263" s="42"/>
      <c r="J263" s="43"/>
      <c r="K263" s="130"/>
      <c r="L263" s="64"/>
      <c r="Q263" s="66"/>
    </row>
    <row r="264" spans="1:17" s="65" customFormat="1" x14ac:dyDescent="0.25">
      <c r="A264" s="1">
        <v>6121</v>
      </c>
      <c r="B264" s="57"/>
      <c r="C264" s="58"/>
      <c r="D264" s="58"/>
      <c r="E264" s="129" t="s">
        <v>247</v>
      </c>
      <c r="F264" s="61"/>
      <c r="G264" s="41">
        <v>10000000</v>
      </c>
      <c r="H264" s="49">
        <v>5062913</v>
      </c>
      <c r="I264" s="42">
        <f t="shared" si="6"/>
        <v>0</v>
      </c>
      <c r="J264" s="43">
        <f t="shared" si="7"/>
        <v>4937087</v>
      </c>
      <c r="K264" s="64"/>
      <c r="L264" s="64"/>
      <c r="Q264" s="66"/>
    </row>
    <row r="265" spans="1:17" s="65" customFormat="1" x14ac:dyDescent="0.25">
      <c r="A265" s="1">
        <v>6122</v>
      </c>
      <c r="B265" s="57"/>
      <c r="C265" s="58"/>
      <c r="D265" s="58"/>
      <c r="E265" s="129" t="s">
        <v>248</v>
      </c>
      <c r="F265" s="61"/>
      <c r="G265" s="41">
        <v>3000000</v>
      </c>
      <c r="H265" s="49">
        <v>1754259</v>
      </c>
      <c r="I265" s="42">
        <f t="shared" si="6"/>
        <v>0</v>
      </c>
      <c r="J265" s="43">
        <f t="shared" si="7"/>
        <v>1245741</v>
      </c>
      <c r="K265" s="64"/>
      <c r="L265" s="64"/>
      <c r="Q265" s="66"/>
    </row>
    <row r="266" spans="1:17" s="65" customFormat="1" x14ac:dyDescent="0.25">
      <c r="A266" s="1">
        <v>6123</v>
      </c>
      <c r="B266" s="57"/>
      <c r="C266" s="58"/>
      <c r="D266" s="58"/>
      <c r="E266" s="129" t="s">
        <v>249</v>
      </c>
      <c r="F266" s="61"/>
      <c r="G266" s="41">
        <v>20000000</v>
      </c>
      <c r="H266" s="49">
        <v>0</v>
      </c>
      <c r="I266" s="42">
        <f t="shared" si="6"/>
        <v>0</v>
      </c>
      <c r="J266" s="43">
        <f t="shared" si="7"/>
        <v>20000000</v>
      </c>
      <c r="K266" s="64"/>
      <c r="L266" s="64"/>
      <c r="Q266" s="66"/>
    </row>
    <row r="267" spans="1:17" s="65" customFormat="1" x14ac:dyDescent="0.25">
      <c r="A267" s="1">
        <v>6125</v>
      </c>
      <c r="B267" s="57"/>
      <c r="C267" s="58"/>
      <c r="D267" s="58"/>
      <c r="E267" s="129" t="s">
        <v>250</v>
      </c>
      <c r="F267" s="61"/>
      <c r="G267" s="41">
        <v>1820000</v>
      </c>
      <c r="H267" s="49">
        <v>6117294.1799999997</v>
      </c>
      <c r="I267" s="42">
        <f t="shared" si="6"/>
        <v>-4297294.18</v>
      </c>
      <c r="J267" s="43">
        <f t="shared" si="7"/>
        <v>0</v>
      </c>
      <c r="K267" s="130"/>
      <c r="L267" s="64"/>
      <c r="Q267" s="66"/>
    </row>
    <row r="268" spans="1:17" s="65" customFormat="1" x14ac:dyDescent="0.25">
      <c r="A268" s="1">
        <v>6127</v>
      </c>
      <c r="B268" s="57"/>
      <c r="C268" s="58"/>
      <c r="D268" s="58"/>
      <c r="E268" s="129" t="s">
        <v>251</v>
      </c>
      <c r="F268" s="61"/>
      <c r="G268" s="41">
        <v>2000000</v>
      </c>
      <c r="H268" s="49">
        <v>0</v>
      </c>
      <c r="I268" s="42">
        <f t="shared" si="6"/>
        <v>0</v>
      </c>
      <c r="J268" s="43">
        <f t="shared" si="7"/>
        <v>2000000</v>
      </c>
      <c r="K268" s="130"/>
      <c r="L268" s="64"/>
      <c r="Q268" s="66"/>
    </row>
    <row r="269" spans="1:17" s="65" customFormat="1" x14ac:dyDescent="0.25">
      <c r="A269" s="1">
        <v>6128</v>
      </c>
      <c r="B269" s="57"/>
      <c r="C269" s="58"/>
      <c r="D269" s="58"/>
      <c r="E269" s="129" t="s">
        <v>252</v>
      </c>
      <c r="F269" s="61"/>
      <c r="G269" s="41">
        <v>50000000</v>
      </c>
      <c r="H269" s="49">
        <v>28369735.579999998</v>
      </c>
      <c r="I269" s="42">
        <f t="shared" si="6"/>
        <v>0</v>
      </c>
      <c r="J269" s="43">
        <f t="shared" si="7"/>
        <v>21630264.420000002</v>
      </c>
      <c r="K269" s="130"/>
      <c r="L269" s="64"/>
      <c r="Q269" s="66"/>
    </row>
    <row r="270" spans="1:17" s="65" customFormat="1" x14ac:dyDescent="0.25">
      <c r="A270" s="1">
        <v>6129</v>
      </c>
      <c r="B270" s="57"/>
      <c r="C270" s="58"/>
      <c r="D270" s="58"/>
      <c r="E270" s="129" t="s">
        <v>253</v>
      </c>
      <c r="F270" s="61"/>
      <c r="G270" s="41">
        <v>5000000</v>
      </c>
      <c r="H270" s="49">
        <v>1900.08</v>
      </c>
      <c r="I270" s="42">
        <f t="shared" ref="I270:I349" si="9">IF(G270&gt;H270,0,G270-H270)</f>
        <v>0</v>
      </c>
      <c r="J270" s="43">
        <f t="shared" ref="J270:J349" si="10">IF(G270&lt;H270,0,G270-H270)</f>
        <v>4998099.92</v>
      </c>
      <c r="K270" s="130"/>
      <c r="L270" s="64"/>
      <c r="Q270" s="66"/>
    </row>
    <row r="271" spans="1:17" s="65" customFormat="1" x14ac:dyDescent="0.25">
      <c r="A271" s="1">
        <f>+A270+1</f>
        <v>6130</v>
      </c>
      <c r="B271" s="57"/>
      <c r="C271" s="58"/>
      <c r="D271" s="58"/>
      <c r="E271" s="129" t="s">
        <v>254</v>
      </c>
      <c r="F271" s="61"/>
      <c r="G271" s="41">
        <v>20000000</v>
      </c>
      <c r="H271" s="49">
        <v>0</v>
      </c>
      <c r="I271" s="42">
        <f t="shared" si="9"/>
        <v>0</v>
      </c>
      <c r="J271" s="43">
        <f t="shared" si="10"/>
        <v>20000000</v>
      </c>
      <c r="K271" s="130"/>
      <c r="L271" s="64"/>
      <c r="Q271" s="66"/>
    </row>
    <row r="272" spans="1:17" s="65" customFormat="1" x14ac:dyDescent="0.25">
      <c r="A272" s="1">
        <f t="shared" ref="A272:A309" si="11">+A271+1</f>
        <v>6131</v>
      </c>
      <c r="B272" s="57"/>
      <c r="C272" s="58"/>
      <c r="D272" s="58"/>
      <c r="E272" s="135" t="s">
        <v>255</v>
      </c>
      <c r="F272" s="61"/>
      <c r="G272" s="41">
        <v>2500000</v>
      </c>
      <c r="H272" s="49">
        <v>0</v>
      </c>
      <c r="I272" s="42">
        <f t="shared" si="9"/>
        <v>0</v>
      </c>
      <c r="J272" s="43">
        <f t="shared" si="10"/>
        <v>2500000</v>
      </c>
      <c r="K272" s="130"/>
      <c r="L272" s="64"/>
      <c r="Q272" s="66"/>
    </row>
    <row r="273" spans="1:17" s="65" customFormat="1" x14ac:dyDescent="0.25">
      <c r="A273" s="1">
        <f t="shared" si="11"/>
        <v>6132</v>
      </c>
      <c r="B273" s="57"/>
      <c r="C273" s="58"/>
      <c r="D273" s="58"/>
      <c r="E273" s="129" t="s">
        <v>256</v>
      </c>
      <c r="F273" s="61"/>
      <c r="G273" s="41">
        <v>5000000</v>
      </c>
      <c r="H273" s="49">
        <v>3330963.67</v>
      </c>
      <c r="I273" s="42">
        <f t="shared" si="9"/>
        <v>0</v>
      </c>
      <c r="J273" s="43">
        <f t="shared" si="10"/>
        <v>1669036.33</v>
      </c>
      <c r="K273" s="130"/>
      <c r="L273" s="64"/>
      <c r="Q273" s="66"/>
    </row>
    <row r="274" spans="1:17" s="65" customFormat="1" x14ac:dyDescent="0.25">
      <c r="A274" s="1">
        <f t="shared" si="11"/>
        <v>6133</v>
      </c>
      <c r="B274" s="57"/>
      <c r="C274" s="58"/>
      <c r="D274" s="58"/>
      <c r="E274" s="129" t="s">
        <v>257</v>
      </c>
      <c r="F274" s="61"/>
      <c r="G274" s="41">
        <v>7000000</v>
      </c>
      <c r="H274" s="49">
        <v>0</v>
      </c>
      <c r="I274" s="42">
        <f t="shared" si="9"/>
        <v>0</v>
      </c>
      <c r="J274" s="43">
        <f t="shared" si="10"/>
        <v>7000000</v>
      </c>
      <c r="K274" s="130"/>
      <c r="L274" s="64"/>
      <c r="Q274" s="66"/>
    </row>
    <row r="275" spans="1:17" s="65" customFormat="1" x14ac:dyDescent="0.25">
      <c r="A275" s="1">
        <f t="shared" si="11"/>
        <v>6134</v>
      </c>
      <c r="B275" s="57"/>
      <c r="C275" s="58"/>
      <c r="D275" s="58"/>
      <c r="E275" s="129" t="s">
        <v>258</v>
      </c>
      <c r="F275" s="61"/>
      <c r="G275" s="41">
        <v>6000000</v>
      </c>
      <c r="H275" s="49">
        <v>988560</v>
      </c>
      <c r="I275" s="42">
        <f t="shared" si="9"/>
        <v>0</v>
      </c>
      <c r="J275" s="43">
        <f t="shared" si="10"/>
        <v>5011440</v>
      </c>
      <c r="K275" s="130"/>
      <c r="L275" s="64"/>
      <c r="Q275" s="66"/>
    </row>
    <row r="276" spans="1:17" s="65" customFormat="1" x14ac:dyDescent="0.25">
      <c r="A276" s="1">
        <f t="shared" si="11"/>
        <v>6135</v>
      </c>
      <c r="B276" s="57"/>
      <c r="C276" s="58"/>
      <c r="D276" s="58"/>
      <c r="E276" s="129" t="s">
        <v>259</v>
      </c>
      <c r="F276" s="61"/>
      <c r="G276" s="41">
        <v>1000000</v>
      </c>
      <c r="H276" s="49">
        <v>0</v>
      </c>
      <c r="I276" s="42">
        <f t="shared" si="9"/>
        <v>0</v>
      </c>
      <c r="J276" s="43">
        <f t="shared" si="10"/>
        <v>1000000</v>
      </c>
      <c r="K276" s="130"/>
      <c r="L276" s="64"/>
      <c r="Q276" s="66"/>
    </row>
    <row r="277" spans="1:17" s="65" customFormat="1" x14ac:dyDescent="0.25">
      <c r="A277" s="1">
        <f t="shared" si="11"/>
        <v>6136</v>
      </c>
      <c r="B277" s="57"/>
      <c r="C277" s="58"/>
      <c r="D277" s="58"/>
      <c r="E277" s="129" t="s">
        <v>260</v>
      </c>
      <c r="F277" s="61"/>
      <c r="G277" s="41">
        <v>2000000</v>
      </c>
      <c r="H277" s="49">
        <v>0</v>
      </c>
      <c r="I277" s="42">
        <f t="shared" si="9"/>
        <v>0</v>
      </c>
      <c r="J277" s="43">
        <f t="shared" si="10"/>
        <v>2000000</v>
      </c>
      <c r="K277" s="130"/>
      <c r="L277" s="64"/>
      <c r="Q277" s="66"/>
    </row>
    <row r="278" spans="1:17" s="65" customFormat="1" x14ac:dyDescent="0.25">
      <c r="A278" s="1">
        <f t="shared" si="11"/>
        <v>6137</v>
      </c>
      <c r="B278" s="57"/>
      <c r="C278" s="58"/>
      <c r="D278" s="58"/>
      <c r="E278" s="129" t="s">
        <v>261</v>
      </c>
      <c r="F278" s="61"/>
      <c r="G278" s="41">
        <v>500000</v>
      </c>
      <c r="H278" s="49">
        <v>0</v>
      </c>
      <c r="I278" s="42">
        <f t="shared" si="9"/>
        <v>0</v>
      </c>
      <c r="J278" s="43">
        <f t="shared" si="10"/>
        <v>500000</v>
      </c>
      <c r="K278" s="130"/>
      <c r="L278" s="64"/>
      <c r="Q278" s="66"/>
    </row>
    <row r="279" spans="1:17" s="65" customFormat="1" x14ac:dyDescent="0.25">
      <c r="A279" s="1">
        <f t="shared" si="11"/>
        <v>6138</v>
      </c>
      <c r="B279" s="57"/>
      <c r="C279" s="58"/>
      <c r="D279" s="58"/>
      <c r="E279" s="129" t="s">
        <v>262</v>
      </c>
      <c r="F279" s="61"/>
      <c r="G279" s="41">
        <v>3000000</v>
      </c>
      <c r="H279" s="49">
        <v>0</v>
      </c>
      <c r="I279" s="42">
        <f t="shared" si="9"/>
        <v>0</v>
      </c>
      <c r="J279" s="43">
        <f t="shared" si="10"/>
        <v>3000000</v>
      </c>
      <c r="K279" s="130"/>
      <c r="L279" s="64"/>
      <c r="Q279" s="66"/>
    </row>
    <row r="280" spans="1:17" s="65" customFormat="1" x14ac:dyDescent="0.25">
      <c r="A280" s="1">
        <f t="shared" si="11"/>
        <v>6139</v>
      </c>
      <c r="B280" s="57"/>
      <c r="C280" s="58"/>
      <c r="D280" s="58"/>
      <c r="E280" s="129" t="s">
        <v>263</v>
      </c>
      <c r="F280" s="61"/>
      <c r="G280" s="41">
        <v>500000</v>
      </c>
      <c r="H280" s="49">
        <v>136700</v>
      </c>
      <c r="I280" s="42">
        <f t="shared" si="9"/>
        <v>0</v>
      </c>
      <c r="J280" s="43">
        <f t="shared" si="10"/>
        <v>363300</v>
      </c>
      <c r="K280" s="130"/>
      <c r="L280" s="64"/>
      <c r="Q280" s="66"/>
    </row>
    <row r="281" spans="1:17" s="65" customFormat="1" x14ac:dyDescent="0.25">
      <c r="A281" s="1">
        <f t="shared" si="11"/>
        <v>6140</v>
      </c>
      <c r="B281" s="57"/>
      <c r="C281" s="58"/>
      <c r="D281" s="58"/>
      <c r="E281" s="129" t="s">
        <v>264</v>
      </c>
      <c r="F281" s="61"/>
      <c r="G281" s="41">
        <v>7000000</v>
      </c>
      <c r="H281" s="49">
        <v>4205236</v>
      </c>
      <c r="I281" s="42">
        <f t="shared" si="9"/>
        <v>0</v>
      </c>
      <c r="J281" s="43">
        <f t="shared" si="10"/>
        <v>2794764</v>
      </c>
      <c r="K281" s="130"/>
      <c r="L281" s="64"/>
      <c r="Q281" s="66"/>
    </row>
    <row r="282" spans="1:17" s="65" customFormat="1" x14ac:dyDescent="0.25">
      <c r="A282" s="1">
        <f t="shared" si="11"/>
        <v>6141</v>
      </c>
      <c r="B282" s="57"/>
      <c r="C282" s="58"/>
      <c r="D282" s="58"/>
      <c r="E282" s="129" t="s">
        <v>265</v>
      </c>
      <c r="F282" s="61"/>
      <c r="G282" s="41">
        <v>10000000</v>
      </c>
      <c r="H282" s="49">
        <v>0</v>
      </c>
      <c r="I282" s="42">
        <f t="shared" si="9"/>
        <v>0</v>
      </c>
      <c r="J282" s="43">
        <f t="shared" si="10"/>
        <v>10000000</v>
      </c>
      <c r="K282" s="130"/>
      <c r="L282" s="64"/>
      <c r="Q282" s="66"/>
    </row>
    <row r="283" spans="1:17" s="65" customFormat="1" x14ac:dyDescent="0.25">
      <c r="A283" s="1">
        <f>+A281+1</f>
        <v>6141</v>
      </c>
      <c r="B283" s="57"/>
      <c r="C283" s="58"/>
      <c r="D283" s="58"/>
      <c r="E283" s="129" t="s">
        <v>266</v>
      </c>
      <c r="F283" s="61"/>
      <c r="G283" s="41">
        <v>10000000</v>
      </c>
      <c r="H283" s="49">
        <v>2618863.15</v>
      </c>
      <c r="I283" s="42">
        <f t="shared" si="9"/>
        <v>0</v>
      </c>
      <c r="J283" s="43">
        <f t="shared" si="10"/>
        <v>7381136.8499999996</v>
      </c>
      <c r="K283" s="130"/>
      <c r="L283" s="64"/>
      <c r="Q283" s="66"/>
    </row>
    <row r="284" spans="1:17" s="65" customFormat="1" x14ac:dyDescent="0.25">
      <c r="A284" s="1">
        <f t="shared" si="11"/>
        <v>6142</v>
      </c>
      <c r="B284" s="57"/>
      <c r="C284" s="58"/>
      <c r="D284" s="58"/>
      <c r="E284" s="129" t="s">
        <v>267</v>
      </c>
      <c r="F284" s="61"/>
      <c r="G284" s="41">
        <v>400000</v>
      </c>
      <c r="H284" s="49">
        <v>0</v>
      </c>
      <c r="I284" s="42">
        <f t="shared" si="9"/>
        <v>0</v>
      </c>
      <c r="J284" s="43">
        <f t="shared" si="10"/>
        <v>400000</v>
      </c>
      <c r="K284" s="130"/>
      <c r="L284" s="64"/>
      <c r="Q284" s="66"/>
    </row>
    <row r="285" spans="1:17" s="65" customFormat="1" x14ac:dyDescent="0.25">
      <c r="A285" s="1">
        <f t="shared" si="11"/>
        <v>6143</v>
      </c>
      <c r="B285" s="57"/>
      <c r="C285" s="58"/>
      <c r="D285" s="58"/>
      <c r="E285" s="129" t="s">
        <v>268</v>
      </c>
      <c r="F285" s="61"/>
      <c r="G285" s="41">
        <v>1000000</v>
      </c>
      <c r="H285" s="49">
        <v>0</v>
      </c>
      <c r="I285" s="42">
        <f t="shared" si="9"/>
        <v>0</v>
      </c>
      <c r="J285" s="43">
        <f t="shared" si="10"/>
        <v>1000000</v>
      </c>
      <c r="K285" s="130"/>
      <c r="L285" s="64"/>
      <c r="Q285" s="66"/>
    </row>
    <row r="286" spans="1:17" s="65" customFormat="1" x14ac:dyDescent="0.25">
      <c r="A286" s="1">
        <f t="shared" si="11"/>
        <v>6144</v>
      </c>
      <c r="B286" s="57"/>
      <c r="C286" s="58"/>
      <c r="D286" s="58"/>
      <c r="E286" s="129" t="s">
        <v>269</v>
      </c>
      <c r="F286" s="61"/>
      <c r="G286" s="41">
        <v>500000</v>
      </c>
      <c r="H286" s="49">
        <v>0</v>
      </c>
      <c r="I286" s="42">
        <f t="shared" si="9"/>
        <v>0</v>
      </c>
      <c r="J286" s="43">
        <f t="shared" si="10"/>
        <v>500000</v>
      </c>
      <c r="K286" s="130"/>
      <c r="L286" s="64"/>
      <c r="Q286" s="66"/>
    </row>
    <row r="287" spans="1:17" s="65" customFormat="1" x14ac:dyDescent="0.25">
      <c r="A287" s="1">
        <f t="shared" si="11"/>
        <v>6145</v>
      </c>
      <c r="B287" s="57"/>
      <c r="C287" s="58"/>
      <c r="D287" s="58"/>
      <c r="E287" s="129" t="s">
        <v>270</v>
      </c>
      <c r="F287" s="61"/>
      <c r="G287" s="41">
        <v>4000000</v>
      </c>
      <c r="H287" s="49">
        <v>283434.65000000002</v>
      </c>
      <c r="I287" s="42">
        <f t="shared" si="9"/>
        <v>0</v>
      </c>
      <c r="J287" s="43">
        <f t="shared" si="10"/>
        <v>3716565.35</v>
      </c>
      <c r="K287" s="130"/>
      <c r="L287" s="64"/>
      <c r="Q287" s="66"/>
    </row>
    <row r="288" spans="1:17" s="65" customFormat="1" x14ac:dyDescent="0.25">
      <c r="A288" s="1">
        <f t="shared" si="11"/>
        <v>6146</v>
      </c>
      <c r="B288" s="57"/>
      <c r="C288" s="58"/>
      <c r="D288" s="58"/>
      <c r="E288" s="129" t="s">
        <v>271</v>
      </c>
      <c r="F288" s="61"/>
      <c r="G288" s="41">
        <v>300000</v>
      </c>
      <c r="H288" s="49">
        <v>140000</v>
      </c>
      <c r="I288" s="42">
        <f t="shared" si="9"/>
        <v>0</v>
      </c>
      <c r="J288" s="43">
        <f t="shared" si="10"/>
        <v>160000</v>
      </c>
      <c r="K288" s="130"/>
      <c r="L288" s="64"/>
      <c r="Q288" s="66"/>
    </row>
    <row r="289" spans="1:17" s="65" customFormat="1" x14ac:dyDescent="0.25">
      <c r="A289" s="1">
        <f t="shared" si="11"/>
        <v>6147</v>
      </c>
      <c r="B289" s="57"/>
      <c r="C289" s="58"/>
      <c r="D289" s="58"/>
      <c r="E289" s="129" t="s">
        <v>272</v>
      </c>
      <c r="F289" s="61"/>
      <c r="G289" s="41">
        <v>10000000</v>
      </c>
      <c r="H289" s="49">
        <v>0</v>
      </c>
      <c r="I289" s="42">
        <f t="shared" si="9"/>
        <v>0</v>
      </c>
      <c r="J289" s="43">
        <f t="shared" si="10"/>
        <v>10000000</v>
      </c>
      <c r="K289" s="130"/>
      <c r="L289" s="64"/>
      <c r="Q289" s="66"/>
    </row>
    <row r="290" spans="1:17" s="65" customFormat="1" x14ac:dyDescent="0.25">
      <c r="A290" s="1">
        <f t="shared" si="11"/>
        <v>6148</v>
      </c>
      <c r="B290" s="57"/>
      <c r="C290" s="58"/>
      <c r="D290" s="58"/>
      <c r="E290" s="129" t="s">
        <v>273</v>
      </c>
      <c r="F290" s="61"/>
      <c r="G290" s="41">
        <v>1500000</v>
      </c>
      <c r="H290" s="49">
        <v>0</v>
      </c>
      <c r="I290" s="42">
        <f t="shared" si="9"/>
        <v>0</v>
      </c>
      <c r="J290" s="43">
        <f t="shared" si="10"/>
        <v>1500000</v>
      </c>
      <c r="K290" s="130"/>
      <c r="L290" s="64"/>
      <c r="Q290" s="66"/>
    </row>
    <row r="291" spans="1:17" s="65" customFormat="1" x14ac:dyDescent="0.25">
      <c r="A291" s="1">
        <f t="shared" si="11"/>
        <v>6149</v>
      </c>
      <c r="B291" s="57"/>
      <c r="C291" s="58"/>
      <c r="D291" s="58"/>
      <c r="E291" s="129" t="s">
        <v>274</v>
      </c>
      <c r="F291" s="61"/>
      <c r="G291" s="41">
        <v>7000000</v>
      </c>
      <c r="H291" s="49">
        <v>1216895</v>
      </c>
      <c r="I291" s="42">
        <f t="shared" si="9"/>
        <v>0</v>
      </c>
      <c r="J291" s="43">
        <f t="shared" si="10"/>
        <v>5783105</v>
      </c>
      <c r="K291" s="130"/>
      <c r="L291" s="64"/>
      <c r="Q291" s="66"/>
    </row>
    <row r="292" spans="1:17" s="65" customFormat="1" x14ac:dyDescent="0.25">
      <c r="A292" s="1">
        <f t="shared" si="11"/>
        <v>6150</v>
      </c>
      <c r="B292" s="57"/>
      <c r="C292" s="58"/>
      <c r="D292" s="58"/>
      <c r="E292" s="129" t="s">
        <v>275</v>
      </c>
      <c r="F292" s="61"/>
      <c r="G292" s="41">
        <v>500000</v>
      </c>
      <c r="H292" s="49">
        <v>0</v>
      </c>
      <c r="I292" s="42">
        <f t="shared" si="9"/>
        <v>0</v>
      </c>
      <c r="J292" s="43">
        <f t="shared" si="10"/>
        <v>500000</v>
      </c>
      <c r="K292" s="130"/>
      <c r="L292" s="64"/>
      <c r="Q292" s="66"/>
    </row>
    <row r="293" spans="1:17" s="65" customFormat="1" x14ac:dyDescent="0.25">
      <c r="A293" s="1">
        <f t="shared" si="11"/>
        <v>6151</v>
      </c>
      <c r="B293" s="57"/>
      <c r="C293" s="58"/>
      <c r="D293" s="58"/>
      <c r="E293" s="129" t="s">
        <v>276</v>
      </c>
      <c r="F293" s="61"/>
      <c r="G293" s="41">
        <v>3000000</v>
      </c>
      <c r="H293" s="49">
        <v>0</v>
      </c>
      <c r="I293" s="42">
        <f t="shared" si="9"/>
        <v>0</v>
      </c>
      <c r="J293" s="43">
        <f t="shared" si="10"/>
        <v>3000000</v>
      </c>
      <c r="K293" s="130"/>
      <c r="L293" s="64"/>
      <c r="Q293" s="66"/>
    </row>
    <row r="294" spans="1:17" s="65" customFormat="1" x14ac:dyDescent="0.25">
      <c r="A294" s="1">
        <f t="shared" si="11"/>
        <v>6152</v>
      </c>
      <c r="B294" s="57"/>
      <c r="C294" s="58"/>
      <c r="D294" s="58"/>
      <c r="E294" s="129" t="s">
        <v>277</v>
      </c>
      <c r="F294" s="61"/>
      <c r="G294" s="76">
        <v>0</v>
      </c>
      <c r="H294" s="49">
        <v>18868</v>
      </c>
      <c r="I294" s="42">
        <f t="shared" si="9"/>
        <v>-18868</v>
      </c>
      <c r="J294" s="43">
        <f t="shared" si="10"/>
        <v>0</v>
      </c>
      <c r="K294" s="130"/>
      <c r="L294" s="64"/>
      <c r="Q294" s="66"/>
    </row>
    <row r="295" spans="1:17" s="65" customFormat="1" x14ac:dyDescent="0.25">
      <c r="A295" s="1">
        <f t="shared" si="11"/>
        <v>6153</v>
      </c>
      <c r="B295" s="57"/>
      <c r="C295" s="58"/>
      <c r="D295" s="58"/>
      <c r="E295" s="129" t="s">
        <v>278</v>
      </c>
      <c r="F295" s="61"/>
      <c r="G295" s="41">
        <v>2000000</v>
      </c>
      <c r="H295" s="49">
        <v>0</v>
      </c>
      <c r="I295" s="42">
        <f t="shared" si="9"/>
        <v>0</v>
      </c>
      <c r="J295" s="43">
        <f t="shared" si="10"/>
        <v>2000000</v>
      </c>
      <c r="K295" s="130"/>
      <c r="L295" s="64"/>
      <c r="Q295" s="66"/>
    </row>
    <row r="296" spans="1:17" s="65" customFormat="1" x14ac:dyDescent="0.25">
      <c r="A296" s="1">
        <f t="shared" si="11"/>
        <v>6154</v>
      </c>
      <c r="B296" s="57"/>
      <c r="C296" s="58"/>
      <c r="D296" s="58"/>
      <c r="E296" s="129" t="s">
        <v>279</v>
      </c>
      <c r="F296" s="61"/>
      <c r="G296" s="41">
        <v>600000</v>
      </c>
      <c r="H296" s="49">
        <v>0</v>
      </c>
      <c r="I296" s="42">
        <f t="shared" si="9"/>
        <v>0</v>
      </c>
      <c r="J296" s="43">
        <f t="shared" si="10"/>
        <v>600000</v>
      </c>
      <c r="K296" s="130"/>
      <c r="L296" s="64"/>
      <c r="Q296" s="66"/>
    </row>
    <row r="297" spans="1:17" s="65" customFormat="1" x14ac:dyDescent="0.25">
      <c r="A297" s="1">
        <f t="shared" si="11"/>
        <v>6155</v>
      </c>
      <c r="B297" s="57"/>
      <c r="C297" s="58"/>
      <c r="D297" s="58"/>
      <c r="E297" s="129" t="s">
        <v>280</v>
      </c>
      <c r="F297" s="61"/>
      <c r="G297" s="41">
        <v>12000000</v>
      </c>
      <c r="H297" s="49">
        <v>7445733.2999999998</v>
      </c>
      <c r="I297" s="42">
        <f t="shared" si="9"/>
        <v>0</v>
      </c>
      <c r="J297" s="43">
        <f t="shared" si="10"/>
        <v>4554266.7</v>
      </c>
      <c r="K297" s="130"/>
      <c r="L297" s="64"/>
      <c r="Q297" s="66"/>
    </row>
    <row r="298" spans="1:17" s="65" customFormat="1" x14ac:dyDescent="0.25">
      <c r="A298" s="1">
        <f t="shared" si="11"/>
        <v>6156</v>
      </c>
      <c r="B298" s="57"/>
      <c r="C298" s="58"/>
      <c r="D298" s="58"/>
      <c r="E298" s="129" t="s">
        <v>281</v>
      </c>
      <c r="F298" s="61"/>
      <c r="G298" s="41">
        <v>1000000</v>
      </c>
      <c r="H298" s="49">
        <v>0</v>
      </c>
      <c r="I298" s="42">
        <f t="shared" si="9"/>
        <v>0</v>
      </c>
      <c r="J298" s="43">
        <f t="shared" si="10"/>
        <v>1000000</v>
      </c>
      <c r="K298" s="130"/>
      <c r="L298" s="64"/>
      <c r="Q298" s="66"/>
    </row>
    <row r="299" spans="1:17" s="65" customFormat="1" x14ac:dyDescent="0.25">
      <c r="A299" s="1">
        <f t="shared" si="11"/>
        <v>6157</v>
      </c>
      <c r="B299" s="57"/>
      <c r="C299" s="58"/>
      <c r="D299" s="58"/>
      <c r="E299" s="129" t="s">
        <v>282</v>
      </c>
      <c r="F299" s="61"/>
      <c r="G299" s="41">
        <v>40000000</v>
      </c>
      <c r="H299" s="49">
        <v>963102.77</v>
      </c>
      <c r="I299" s="42">
        <f t="shared" si="9"/>
        <v>0</v>
      </c>
      <c r="J299" s="43">
        <f t="shared" si="10"/>
        <v>39036897.229999997</v>
      </c>
      <c r="K299" s="130"/>
      <c r="L299" s="64"/>
      <c r="Q299" s="66"/>
    </row>
    <row r="300" spans="1:17" s="65" customFormat="1" x14ac:dyDescent="0.25">
      <c r="A300" s="1">
        <f t="shared" si="11"/>
        <v>6158</v>
      </c>
      <c r="B300" s="57"/>
      <c r="C300" s="58"/>
      <c r="D300" s="58"/>
      <c r="E300" s="129" t="s">
        <v>283</v>
      </c>
      <c r="F300" s="61"/>
      <c r="G300" s="41">
        <v>500000</v>
      </c>
      <c r="H300" s="49">
        <v>0</v>
      </c>
      <c r="I300" s="42">
        <f t="shared" si="9"/>
        <v>0</v>
      </c>
      <c r="J300" s="43">
        <f t="shared" si="10"/>
        <v>500000</v>
      </c>
      <c r="K300" s="130"/>
      <c r="L300" s="64"/>
      <c r="Q300" s="66"/>
    </row>
    <row r="301" spans="1:17" s="65" customFormat="1" x14ac:dyDescent="0.25">
      <c r="A301" s="1">
        <f>+A299+1</f>
        <v>6158</v>
      </c>
      <c r="B301" s="57"/>
      <c r="C301" s="58"/>
      <c r="D301" s="58"/>
      <c r="E301" s="129" t="s">
        <v>284</v>
      </c>
      <c r="F301" s="61"/>
      <c r="G301" s="41">
        <v>2500000</v>
      </c>
      <c r="H301" s="49">
        <v>0</v>
      </c>
      <c r="I301" s="42">
        <f t="shared" si="9"/>
        <v>0</v>
      </c>
      <c r="J301" s="43">
        <f t="shared" si="10"/>
        <v>2500000</v>
      </c>
      <c r="K301" s="130"/>
      <c r="L301" s="64"/>
      <c r="Q301" s="66"/>
    </row>
    <row r="302" spans="1:17" s="65" customFormat="1" x14ac:dyDescent="0.25">
      <c r="A302" s="1">
        <f t="shared" si="11"/>
        <v>6159</v>
      </c>
      <c r="B302" s="57"/>
      <c r="C302" s="58"/>
      <c r="D302" s="58"/>
      <c r="E302" s="129" t="s">
        <v>285</v>
      </c>
      <c r="F302" s="61"/>
      <c r="G302" s="41">
        <v>10000000</v>
      </c>
      <c r="H302" s="49">
        <v>0</v>
      </c>
      <c r="I302" s="42">
        <f t="shared" si="9"/>
        <v>0</v>
      </c>
      <c r="J302" s="43">
        <f t="shared" si="10"/>
        <v>10000000</v>
      </c>
      <c r="K302" s="64"/>
      <c r="L302" s="64"/>
      <c r="Q302" s="66"/>
    </row>
    <row r="303" spans="1:17" s="65" customFormat="1" x14ac:dyDescent="0.25">
      <c r="A303" s="1">
        <f t="shared" si="11"/>
        <v>6160</v>
      </c>
      <c r="B303" s="57"/>
      <c r="C303" s="58"/>
      <c r="D303" s="58"/>
      <c r="E303" s="129" t="s">
        <v>286</v>
      </c>
      <c r="F303" s="61"/>
      <c r="G303" s="41">
        <v>1500000</v>
      </c>
      <c r="H303" s="49">
        <v>0</v>
      </c>
      <c r="I303" s="42">
        <f t="shared" si="9"/>
        <v>0</v>
      </c>
      <c r="J303" s="43">
        <f t="shared" si="10"/>
        <v>1500000</v>
      </c>
      <c r="K303" s="64"/>
      <c r="L303" s="64"/>
      <c r="Q303" s="66"/>
    </row>
    <row r="304" spans="1:17" s="65" customFormat="1" x14ac:dyDescent="0.25">
      <c r="A304" s="1">
        <f t="shared" si="11"/>
        <v>6161</v>
      </c>
      <c r="B304" s="57"/>
      <c r="C304" s="58"/>
      <c r="D304" s="58"/>
      <c r="E304" s="129" t="s">
        <v>287</v>
      </c>
      <c r="F304" s="61"/>
      <c r="G304" s="41">
        <v>1000000</v>
      </c>
      <c r="H304" s="49">
        <v>195000</v>
      </c>
      <c r="I304" s="42">
        <f t="shared" si="9"/>
        <v>0</v>
      </c>
      <c r="J304" s="43">
        <f t="shared" si="10"/>
        <v>805000</v>
      </c>
      <c r="K304" s="64"/>
      <c r="L304" s="64"/>
      <c r="Q304" s="66"/>
    </row>
    <row r="305" spans="1:17" s="65" customFormat="1" x14ac:dyDescent="0.25">
      <c r="A305" s="1">
        <v>6163</v>
      </c>
      <c r="B305" s="57"/>
      <c r="C305" s="58"/>
      <c r="D305" s="58"/>
      <c r="E305" s="129" t="s">
        <v>288</v>
      </c>
      <c r="F305" s="61"/>
      <c r="G305" s="41">
        <v>5000000</v>
      </c>
      <c r="H305" s="49">
        <v>0</v>
      </c>
      <c r="I305" s="42">
        <f t="shared" si="9"/>
        <v>0</v>
      </c>
      <c r="J305" s="43">
        <f t="shared" si="10"/>
        <v>5000000</v>
      </c>
      <c r="K305" s="64"/>
      <c r="L305" s="64"/>
      <c r="Q305" s="66"/>
    </row>
    <row r="306" spans="1:17" s="65" customFormat="1" x14ac:dyDescent="0.25">
      <c r="A306" s="1">
        <v>6164</v>
      </c>
      <c r="B306" s="57"/>
      <c r="C306" s="58"/>
      <c r="D306" s="58"/>
      <c r="E306" s="129" t="s">
        <v>289</v>
      </c>
      <c r="F306" s="61"/>
      <c r="G306" s="41">
        <v>1000000</v>
      </c>
      <c r="H306" s="49">
        <v>0</v>
      </c>
      <c r="I306" s="42">
        <f t="shared" si="9"/>
        <v>0</v>
      </c>
      <c r="J306" s="43">
        <f t="shared" si="10"/>
        <v>1000000</v>
      </c>
      <c r="K306" s="64"/>
      <c r="L306" s="64"/>
      <c r="Q306" s="66"/>
    </row>
    <row r="307" spans="1:17" s="65" customFormat="1" x14ac:dyDescent="0.25">
      <c r="A307" s="1">
        <v>6165</v>
      </c>
      <c r="B307" s="57"/>
      <c r="C307" s="58"/>
      <c r="D307" s="58"/>
      <c r="E307" s="129" t="s">
        <v>290</v>
      </c>
      <c r="F307" s="61"/>
      <c r="G307" s="41">
        <v>4000000</v>
      </c>
      <c r="H307" s="49">
        <v>1700000</v>
      </c>
      <c r="I307" s="42">
        <f t="shared" si="9"/>
        <v>0</v>
      </c>
      <c r="J307" s="43">
        <f t="shared" si="10"/>
        <v>2300000</v>
      </c>
      <c r="K307" s="64"/>
      <c r="L307" s="64"/>
      <c r="Q307" s="66"/>
    </row>
    <row r="308" spans="1:17" s="65" customFormat="1" x14ac:dyDescent="0.25">
      <c r="A308" s="1">
        <v>6166</v>
      </c>
      <c r="B308" s="57"/>
      <c r="C308" s="58"/>
      <c r="D308" s="58"/>
      <c r="E308" s="129" t="s">
        <v>291</v>
      </c>
      <c r="F308" s="61"/>
      <c r="G308" s="41">
        <v>3000000</v>
      </c>
      <c r="H308" s="49">
        <v>0</v>
      </c>
      <c r="I308" s="42">
        <f t="shared" si="9"/>
        <v>0</v>
      </c>
      <c r="J308" s="43">
        <f t="shared" si="10"/>
        <v>3000000</v>
      </c>
      <c r="K308" s="64"/>
      <c r="L308" s="64"/>
      <c r="Q308" s="66"/>
    </row>
    <row r="309" spans="1:17" s="65" customFormat="1" x14ac:dyDescent="0.25">
      <c r="A309" s="1">
        <f t="shared" si="11"/>
        <v>6167</v>
      </c>
      <c r="B309" s="57"/>
      <c r="C309" s="58"/>
      <c r="D309" s="58"/>
      <c r="E309" s="129"/>
      <c r="F309" s="61"/>
      <c r="G309" s="41"/>
      <c r="H309" s="49"/>
      <c r="I309" s="42">
        <f t="shared" si="9"/>
        <v>0</v>
      </c>
      <c r="J309" s="43">
        <f t="shared" si="10"/>
        <v>0</v>
      </c>
      <c r="K309" s="64"/>
      <c r="L309" s="64"/>
      <c r="Q309" s="66"/>
    </row>
    <row r="310" spans="1:17" s="65" customFormat="1" x14ac:dyDescent="0.25">
      <c r="A310" s="1"/>
      <c r="B310" s="57"/>
      <c r="C310" s="58"/>
      <c r="D310" s="58"/>
      <c r="E310" s="99" t="s">
        <v>292</v>
      </c>
      <c r="F310" s="61"/>
      <c r="G310" s="41"/>
      <c r="H310" s="49"/>
      <c r="I310" s="42">
        <f t="shared" si="9"/>
        <v>0</v>
      </c>
      <c r="J310" s="43">
        <f t="shared" si="10"/>
        <v>0</v>
      </c>
      <c r="K310" s="64"/>
      <c r="L310" s="64"/>
      <c r="Q310" s="66"/>
    </row>
    <row r="311" spans="1:17" s="69" customFormat="1" x14ac:dyDescent="0.25">
      <c r="A311" s="1"/>
      <c r="B311" s="57"/>
      <c r="C311" s="58"/>
      <c r="D311" s="58"/>
      <c r="E311" s="99" t="s">
        <v>293</v>
      </c>
      <c r="F311" s="61"/>
      <c r="G311" s="41"/>
      <c r="H311" s="49"/>
      <c r="I311" s="42">
        <f t="shared" si="9"/>
        <v>0</v>
      </c>
      <c r="J311" s="43">
        <f t="shared" si="10"/>
        <v>0</v>
      </c>
      <c r="K311" s="68"/>
      <c r="L311" s="68"/>
      <c r="Q311" s="70"/>
    </row>
    <row r="312" spans="1:17" s="69" customFormat="1" x14ac:dyDescent="0.25">
      <c r="A312" s="1"/>
      <c r="B312" s="57"/>
      <c r="C312" s="58"/>
      <c r="D312" s="58"/>
      <c r="E312" s="99" t="s">
        <v>294</v>
      </c>
      <c r="F312" s="61"/>
      <c r="G312" s="41"/>
      <c r="H312" s="49"/>
      <c r="I312" s="42">
        <f t="shared" si="9"/>
        <v>0</v>
      </c>
      <c r="J312" s="43">
        <f t="shared" si="10"/>
        <v>0</v>
      </c>
      <c r="K312" s="68"/>
      <c r="L312" s="68"/>
      <c r="Q312" s="70"/>
    </row>
    <row r="313" spans="1:17" s="69" customFormat="1" x14ac:dyDescent="0.25">
      <c r="A313" s="1"/>
      <c r="B313" s="57"/>
      <c r="C313" s="58"/>
      <c r="D313" s="58"/>
      <c r="E313" s="99" t="s">
        <v>295</v>
      </c>
      <c r="F313" s="61"/>
      <c r="G313" s="41"/>
      <c r="H313" s="49"/>
      <c r="I313" s="42">
        <f t="shared" si="9"/>
        <v>0</v>
      </c>
      <c r="J313" s="43">
        <f t="shared" si="10"/>
        <v>0</v>
      </c>
      <c r="K313" s="68"/>
      <c r="L313" s="68"/>
      <c r="Q313" s="70"/>
    </row>
    <row r="314" spans="1:17" s="69" customFormat="1" x14ac:dyDescent="0.25">
      <c r="A314" s="1"/>
      <c r="B314" s="57"/>
      <c r="C314" s="58"/>
      <c r="D314" s="58"/>
      <c r="E314" s="99" t="s">
        <v>296</v>
      </c>
      <c r="F314" s="61"/>
      <c r="G314" s="41"/>
      <c r="H314" s="49"/>
      <c r="I314" s="42">
        <f t="shared" si="9"/>
        <v>0</v>
      </c>
      <c r="J314" s="43">
        <f t="shared" si="10"/>
        <v>0</v>
      </c>
      <c r="K314" s="68"/>
      <c r="L314" s="68"/>
      <c r="Q314" s="70"/>
    </row>
    <row r="315" spans="1:17" s="69" customFormat="1" x14ac:dyDescent="0.25">
      <c r="A315" s="1"/>
      <c r="B315" s="107"/>
      <c r="C315" s="58"/>
      <c r="D315" s="58"/>
      <c r="E315" s="99" t="s">
        <v>297</v>
      </c>
      <c r="F315" s="61"/>
      <c r="G315" s="41"/>
      <c r="H315" s="49"/>
      <c r="I315" s="42">
        <f t="shared" si="9"/>
        <v>0</v>
      </c>
      <c r="J315" s="43">
        <f t="shared" si="10"/>
        <v>0</v>
      </c>
      <c r="K315" s="68"/>
      <c r="L315" s="68"/>
      <c r="Q315" s="70"/>
    </row>
    <row r="316" spans="1:17" s="69" customFormat="1" x14ac:dyDescent="0.25">
      <c r="A316" s="1">
        <f>+A308+1</f>
        <v>6167</v>
      </c>
      <c r="B316" s="107"/>
      <c r="C316" s="108"/>
      <c r="D316" s="108"/>
      <c r="E316" s="136" t="s">
        <v>298</v>
      </c>
      <c r="F316" s="106"/>
      <c r="G316" s="41">
        <v>0</v>
      </c>
      <c r="H316" s="102">
        <v>40000</v>
      </c>
      <c r="I316" s="42">
        <f t="shared" si="9"/>
        <v>-40000</v>
      </c>
      <c r="J316" s="43">
        <f t="shared" si="10"/>
        <v>0</v>
      </c>
      <c r="K316" s="68"/>
      <c r="L316" s="68"/>
      <c r="Q316" s="70"/>
    </row>
    <row r="317" spans="1:17" s="69" customFormat="1" x14ac:dyDescent="0.25">
      <c r="A317" s="1">
        <f t="shared" ref="A317" si="12">+A309+1</f>
        <v>6168</v>
      </c>
      <c r="B317" s="107"/>
      <c r="C317" s="108"/>
      <c r="D317" s="108"/>
      <c r="E317" s="136" t="s">
        <v>299</v>
      </c>
      <c r="F317" s="106"/>
      <c r="G317" s="41">
        <v>0</v>
      </c>
      <c r="H317" s="102">
        <v>1139432.8500000001</v>
      </c>
      <c r="I317" s="42">
        <f t="shared" si="9"/>
        <v>-1139432.8500000001</v>
      </c>
      <c r="J317" s="43">
        <f t="shared" si="10"/>
        <v>0</v>
      </c>
      <c r="K317" s="68"/>
      <c r="L317" s="68"/>
      <c r="Q317" s="70"/>
    </row>
    <row r="318" spans="1:17" s="69" customFormat="1" x14ac:dyDescent="0.25">
      <c r="A318" s="1">
        <v>6169</v>
      </c>
      <c r="B318" s="107"/>
      <c r="C318" s="108"/>
      <c r="D318" s="108"/>
      <c r="E318" s="136" t="s">
        <v>28</v>
      </c>
      <c r="F318" s="106"/>
      <c r="G318" s="41">
        <v>0</v>
      </c>
      <c r="H318" s="102">
        <v>1630000</v>
      </c>
      <c r="I318" s="42">
        <f t="shared" si="9"/>
        <v>-1630000</v>
      </c>
      <c r="J318" s="43">
        <f t="shared" si="10"/>
        <v>0</v>
      </c>
      <c r="K318" s="68"/>
      <c r="L318" s="68"/>
      <c r="Q318" s="70"/>
    </row>
    <row r="319" spans="1:17" s="69" customFormat="1" x14ac:dyDescent="0.25">
      <c r="A319" s="1">
        <v>6170</v>
      </c>
      <c r="B319" s="107"/>
      <c r="C319" s="108"/>
      <c r="D319" s="108"/>
      <c r="E319" s="136" t="s">
        <v>300</v>
      </c>
      <c r="F319" s="106"/>
      <c r="G319" s="41">
        <v>0</v>
      </c>
      <c r="H319" s="102">
        <v>494099.14</v>
      </c>
      <c r="I319" s="42">
        <f t="shared" si="9"/>
        <v>-494099.14</v>
      </c>
      <c r="J319" s="43">
        <f t="shared" si="10"/>
        <v>0</v>
      </c>
      <c r="K319" s="68"/>
      <c r="L319" s="68"/>
      <c r="Q319" s="70"/>
    </row>
    <row r="320" spans="1:17" s="69" customFormat="1" x14ac:dyDescent="0.25">
      <c r="A320" s="1">
        <v>6171</v>
      </c>
      <c r="B320" s="107"/>
      <c r="C320" s="108"/>
      <c r="D320" s="108"/>
      <c r="E320" s="136" t="s">
        <v>301</v>
      </c>
      <c r="F320" s="106"/>
      <c r="G320" s="41">
        <v>0</v>
      </c>
      <c r="H320" s="102">
        <v>2107904.75</v>
      </c>
      <c r="I320" s="42">
        <f t="shared" si="9"/>
        <v>-2107904.75</v>
      </c>
      <c r="J320" s="43">
        <f t="shared" si="10"/>
        <v>0</v>
      </c>
      <c r="K320" s="68"/>
      <c r="L320" s="68"/>
      <c r="Q320" s="70"/>
    </row>
    <row r="321" spans="1:17" s="69" customFormat="1" x14ac:dyDescent="0.25">
      <c r="A321" s="1">
        <v>6172</v>
      </c>
      <c r="B321" s="107"/>
      <c r="C321" s="108"/>
      <c r="D321" s="108"/>
      <c r="E321" s="136" t="s">
        <v>302</v>
      </c>
      <c r="F321" s="106"/>
      <c r="G321" s="41">
        <v>0</v>
      </c>
      <c r="H321" s="102">
        <v>5155764.4400000004</v>
      </c>
      <c r="I321" s="42">
        <f t="shared" si="9"/>
        <v>-5155764.4400000004</v>
      </c>
      <c r="J321" s="43">
        <f t="shared" si="10"/>
        <v>0</v>
      </c>
      <c r="K321" s="68"/>
      <c r="L321" s="68"/>
      <c r="Q321" s="70"/>
    </row>
    <row r="322" spans="1:17" s="69" customFormat="1" x14ac:dyDescent="0.25">
      <c r="A322" s="1">
        <v>6173</v>
      </c>
      <c r="B322" s="107"/>
      <c r="C322" s="108"/>
      <c r="D322" s="108"/>
      <c r="E322" s="136" t="s">
        <v>303</v>
      </c>
      <c r="F322" s="106"/>
      <c r="G322" s="41">
        <v>0</v>
      </c>
      <c r="H322" s="102">
        <v>184712</v>
      </c>
      <c r="I322" s="42">
        <f t="shared" si="9"/>
        <v>-184712</v>
      </c>
      <c r="J322" s="43">
        <f t="shared" si="10"/>
        <v>0</v>
      </c>
      <c r="K322" s="68"/>
      <c r="L322" s="68"/>
      <c r="Q322" s="70"/>
    </row>
    <row r="323" spans="1:17" s="69" customFormat="1" x14ac:dyDescent="0.25">
      <c r="A323" s="1">
        <v>6174</v>
      </c>
      <c r="B323" s="107"/>
      <c r="C323" s="108"/>
      <c r="D323" s="108"/>
      <c r="E323" s="136" t="s">
        <v>304</v>
      </c>
      <c r="F323" s="106"/>
      <c r="G323" s="41">
        <v>0</v>
      </c>
      <c r="H323" s="102">
        <v>5480325.46</v>
      </c>
      <c r="I323" s="42">
        <f t="shared" si="9"/>
        <v>-5480325.46</v>
      </c>
      <c r="J323" s="43">
        <f t="shared" si="10"/>
        <v>0</v>
      </c>
      <c r="K323" s="68"/>
      <c r="L323" s="68"/>
      <c r="Q323" s="70"/>
    </row>
    <row r="324" spans="1:17" s="69" customFormat="1" x14ac:dyDescent="0.25">
      <c r="A324" s="1">
        <f>+A323+1</f>
        <v>6175</v>
      </c>
      <c r="B324" s="107"/>
      <c r="C324" s="108"/>
      <c r="D324" s="108"/>
      <c r="E324" s="136" t="s">
        <v>305</v>
      </c>
      <c r="F324" s="106"/>
      <c r="G324" s="41">
        <v>0</v>
      </c>
      <c r="H324" s="102">
        <v>1428892.05</v>
      </c>
      <c r="I324" s="42">
        <f t="shared" si="9"/>
        <v>-1428892.05</v>
      </c>
      <c r="J324" s="43">
        <f t="shared" si="10"/>
        <v>0</v>
      </c>
      <c r="K324" s="68"/>
      <c r="L324" s="68"/>
      <c r="Q324" s="70"/>
    </row>
    <row r="325" spans="1:17" s="69" customFormat="1" x14ac:dyDescent="0.25">
      <c r="A325" s="1">
        <f t="shared" ref="A325:A331" si="13">+A324+1</f>
        <v>6176</v>
      </c>
      <c r="B325" s="107"/>
      <c r="C325" s="108"/>
      <c r="D325" s="108"/>
      <c r="E325" s="136" t="s">
        <v>306</v>
      </c>
      <c r="F325" s="106"/>
      <c r="G325" s="41">
        <v>0</v>
      </c>
      <c r="H325" s="102">
        <v>13019160.380000001</v>
      </c>
      <c r="I325" s="42">
        <f t="shared" si="9"/>
        <v>-13019160.380000001</v>
      </c>
      <c r="J325" s="43">
        <f t="shared" si="10"/>
        <v>0</v>
      </c>
      <c r="K325" s="68"/>
      <c r="L325" s="68"/>
      <c r="Q325" s="70"/>
    </row>
    <row r="326" spans="1:17" s="69" customFormat="1" x14ac:dyDescent="0.25">
      <c r="A326" s="1">
        <f t="shared" si="13"/>
        <v>6177</v>
      </c>
      <c r="B326" s="107"/>
      <c r="C326" s="108"/>
      <c r="D326" s="108"/>
      <c r="E326" s="136" t="s">
        <v>307</v>
      </c>
      <c r="F326" s="106"/>
      <c r="G326" s="41">
        <v>0</v>
      </c>
      <c r="H326" s="102">
        <v>12120</v>
      </c>
      <c r="I326" s="42">
        <f t="shared" si="9"/>
        <v>-12120</v>
      </c>
      <c r="J326" s="43">
        <f t="shared" si="10"/>
        <v>0</v>
      </c>
      <c r="K326" s="68"/>
      <c r="L326" s="68"/>
      <c r="Q326" s="70"/>
    </row>
    <row r="327" spans="1:17" s="69" customFormat="1" x14ac:dyDescent="0.25">
      <c r="A327" s="1">
        <f t="shared" si="13"/>
        <v>6178</v>
      </c>
      <c r="B327" s="107"/>
      <c r="C327" s="108"/>
      <c r="D327" s="108"/>
      <c r="E327" s="136" t="s">
        <v>308</v>
      </c>
      <c r="F327" s="106"/>
      <c r="G327" s="41">
        <v>0</v>
      </c>
      <c r="H327" s="102">
        <v>12163510.65</v>
      </c>
      <c r="I327" s="42">
        <f t="shared" si="9"/>
        <v>-12163510.65</v>
      </c>
      <c r="J327" s="43">
        <f t="shared" si="10"/>
        <v>0</v>
      </c>
      <c r="K327" s="68"/>
      <c r="L327" s="68"/>
      <c r="Q327" s="70"/>
    </row>
    <row r="328" spans="1:17" s="69" customFormat="1" x14ac:dyDescent="0.25">
      <c r="A328" s="1">
        <f t="shared" si="13"/>
        <v>6179</v>
      </c>
      <c r="B328" s="107"/>
      <c r="C328" s="108"/>
      <c r="D328" s="108"/>
      <c r="E328" s="136" t="s">
        <v>309</v>
      </c>
      <c r="F328" s="106"/>
      <c r="G328" s="41">
        <v>0</v>
      </c>
      <c r="H328" s="102">
        <v>1779169</v>
      </c>
      <c r="I328" s="42">
        <f t="shared" si="9"/>
        <v>-1779169</v>
      </c>
      <c r="J328" s="43">
        <f t="shared" si="10"/>
        <v>0</v>
      </c>
      <c r="K328" s="68"/>
      <c r="L328" s="68"/>
      <c r="Q328" s="70"/>
    </row>
    <row r="329" spans="1:17" s="69" customFormat="1" x14ac:dyDescent="0.25">
      <c r="A329" s="1">
        <f t="shared" si="13"/>
        <v>6180</v>
      </c>
      <c r="B329" s="107"/>
      <c r="C329" s="108"/>
      <c r="D329" s="108"/>
      <c r="E329" s="136" t="s">
        <v>310</v>
      </c>
      <c r="F329" s="106"/>
      <c r="G329" s="41">
        <v>0</v>
      </c>
      <c r="H329" s="102">
        <v>1950000</v>
      </c>
      <c r="I329" s="42">
        <f t="shared" si="9"/>
        <v>-1950000</v>
      </c>
      <c r="J329" s="43">
        <f t="shared" si="10"/>
        <v>0</v>
      </c>
      <c r="K329" s="68"/>
      <c r="L329" s="68"/>
      <c r="Q329" s="70"/>
    </row>
    <row r="330" spans="1:17" s="69" customFormat="1" x14ac:dyDescent="0.25">
      <c r="A330" s="1">
        <f t="shared" si="13"/>
        <v>6181</v>
      </c>
      <c r="B330" s="107"/>
      <c r="C330" s="108"/>
      <c r="D330" s="108"/>
      <c r="E330" s="136" t="s">
        <v>311</v>
      </c>
      <c r="F330" s="106"/>
      <c r="G330" s="41">
        <v>0</v>
      </c>
      <c r="H330" s="102">
        <v>218510</v>
      </c>
      <c r="I330" s="42">
        <f t="shared" si="9"/>
        <v>-218510</v>
      </c>
      <c r="J330" s="43">
        <f t="shared" si="10"/>
        <v>0</v>
      </c>
      <c r="K330" s="68"/>
      <c r="L330" s="68"/>
      <c r="Q330" s="70"/>
    </row>
    <row r="331" spans="1:17" s="69" customFormat="1" x14ac:dyDescent="0.25">
      <c r="A331" s="1">
        <f t="shared" si="13"/>
        <v>6182</v>
      </c>
      <c r="B331" s="107"/>
      <c r="C331" s="108"/>
      <c r="D331" s="108"/>
      <c r="E331" s="136" t="s">
        <v>312</v>
      </c>
      <c r="F331" s="106"/>
      <c r="G331" s="41">
        <v>0</v>
      </c>
      <c r="H331" s="102">
        <v>4744160</v>
      </c>
      <c r="I331" s="42">
        <f t="shared" si="9"/>
        <v>-4744160</v>
      </c>
      <c r="J331" s="43">
        <f t="shared" si="10"/>
        <v>0</v>
      </c>
      <c r="K331" s="68"/>
      <c r="L331" s="68"/>
      <c r="Q331" s="70"/>
    </row>
    <row r="332" spans="1:17" s="69" customFormat="1" x14ac:dyDescent="0.25">
      <c r="A332" s="1"/>
      <c r="B332" s="137" t="s">
        <v>313</v>
      </c>
      <c r="C332" s="138"/>
      <c r="D332" s="138"/>
      <c r="E332" s="138"/>
      <c r="F332" s="139"/>
      <c r="G332" s="41">
        <f>+G6+G225</f>
        <v>617678282</v>
      </c>
      <c r="H332" s="41">
        <f>+H6+H225</f>
        <v>576131173.02999997</v>
      </c>
      <c r="I332" s="42">
        <f t="shared" si="9"/>
        <v>0</v>
      </c>
      <c r="J332" s="43">
        <f t="shared" si="10"/>
        <v>41547108.970000029</v>
      </c>
      <c r="K332" s="68"/>
      <c r="L332" s="68"/>
      <c r="Q332" s="70"/>
    </row>
    <row r="333" spans="1:17" s="127" customFormat="1" ht="15.75" thickBot="1" x14ac:dyDescent="0.3">
      <c r="A333" s="124"/>
      <c r="B333" s="140" t="s">
        <v>314</v>
      </c>
      <c r="C333" s="141"/>
      <c r="D333" s="141"/>
      <c r="E333" s="141"/>
      <c r="F333" s="139"/>
      <c r="G333" s="41">
        <f>+G107+G248</f>
        <v>599316241.94000006</v>
      </c>
      <c r="H333" s="41">
        <f>+H107+H248</f>
        <v>620556127.35000002</v>
      </c>
      <c r="I333" s="42">
        <f t="shared" si="9"/>
        <v>-21239885.409999967</v>
      </c>
      <c r="J333" s="43">
        <f t="shared" si="10"/>
        <v>0</v>
      </c>
      <c r="K333" s="126"/>
      <c r="L333" s="126"/>
      <c r="Q333" s="128"/>
    </row>
    <row r="334" spans="1:17" s="127" customFormat="1" ht="17.25" thickBot="1" x14ac:dyDescent="0.3">
      <c r="A334" s="124"/>
      <c r="B334" s="142" t="s">
        <v>315</v>
      </c>
      <c r="C334" s="143"/>
      <c r="D334" s="143"/>
      <c r="E334" s="144"/>
      <c r="F334" s="145"/>
      <c r="G334" s="41">
        <f>+G333</f>
        <v>599316241.94000006</v>
      </c>
      <c r="H334" s="146"/>
      <c r="I334" s="42">
        <f t="shared" si="9"/>
        <v>0</v>
      </c>
      <c r="J334" s="43">
        <f t="shared" si="10"/>
        <v>599316241.94000006</v>
      </c>
      <c r="K334" s="126"/>
      <c r="L334" s="126"/>
      <c r="Q334" s="128"/>
    </row>
    <row r="335" spans="1:17" ht="15.75" thickBot="1" x14ac:dyDescent="0.3">
      <c r="B335" s="148"/>
      <c r="C335" s="148"/>
      <c r="D335" s="148"/>
      <c r="E335" s="148"/>
      <c r="F335" s="148"/>
      <c r="G335" s="41"/>
      <c r="H335" s="149"/>
      <c r="I335" s="42">
        <f t="shared" si="9"/>
        <v>0</v>
      </c>
      <c r="J335" s="43">
        <f t="shared" si="10"/>
        <v>0</v>
      </c>
      <c r="K335" s="45"/>
      <c r="L335" s="45"/>
    </row>
    <row r="336" spans="1:17" s="127" customFormat="1" ht="17.25" thickBot="1" x14ac:dyDescent="0.3">
      <c r="A336" s="124"/>
      <c r="B336" s="142" t="s">
        <v>316</v>
      </c>
      <c r="C336" s="143"/>
      <c r="D336" s="143"/>
      <c r="E336" s="143"/>
      <c r="F336" s="143"/>
      <c r="G336" s="41">
        <f>+G332-G333</f>
        <v>18362040.059999943</v>
      </c>
      <c r="H336" s="146"/>
      <c r="I336" s="42">
        <f t="shared" si="9"/>
        <v>0</v>
      </c>
      <c r="J336" s="43">
        <f t="shared" si="10"/>
        <v>18362040.059999943</v>
      </c>
      <c r="K336" s="126"/>
      <c r="L336" s="126"/>
      <c r="Q336" s="128"/>
    </row>
    <row r="337" spans="1:17" s="127" customFormat="1" ht="17.25" thickBot="1" x14ac:dyDescent="0.3">
      <c r="A337" s="124"/>
      <c r="B337" s="142" t="s">
        <v>317</v>
      </c>
      <c r="C337" s="143"/>
      <c r="D337" s="143"/>
      <c r="E337" s="144"/>
      <c r="F337" s="144"/>
      <c r="G337" s="41" t="e">
        <f>+G332-G333+#REF!</f>
        <v>#REF!</v>
      </c>
      <c r="H337" s="146"/>
      <c r="I337" s="42" t="e">
        <f t="shared" si="9"/>
        <v>#REF!</v>
      </c>
      <c r="J337" s="43" t="e">
        <f t="shared" si="10"/>
        <v>#REF!</v>
      </c>
      <c r="K337" s="126"/>
      <c r="L337" s="126"/>
      <c r="Q337" s="128"/>
    </row>
    <row r="338" spans="1:17" s="152" customFormat="1" ht="17.25" thickBot="1" x14ac:dyDescent="0.3">
      <c r="A338" s="150"/>
      <c r="B338" s="151"/>
      <c r="C338" s="151"/>
      <c r="D338" s="151"/>
      <c r="E338" s="151"/>
      <c r="F338" s="151"/>
      <c r="G338" s="41"/>
      <c r="H338" s="146"/>
      <c r="I338" s="42">
        <f t="shared" si="9"/>
        <v>0</v>
      </c>
      <c r="J338" s="43">
        <f t="shared" si="10"/>
        <v>0</v>
      </c>
      <c r="Q338" s="153"/>
    </row>
    <row r="339" spans="1:17" s="152" customFormat="1" ht="15.75" thickBot="1" x14ac:dyDescent="0.3">
      <c r="A339" s="150"/>
      <c r="B339" s="154" t="s">
        <v>318</v>
      </c>
      <c r="C339" s="155"/>
      <c r="D339" s="155"/>
      <c r="E339" s="156"/>
      <c r="F339" s="155"/>
      <c r="G339" s="41">
        <f>+G340-G342</f>
        <v>-18362040.059999999</v>
      </c>
      <c r="H339" s="146"/>
      <c r="I339" s="42">
        <f t="shared" si="9"/>
        <v>-18362040.059999999</v>
      </c>
      <c r="J339" s="43">
        <f t="shared" si="10"/>
        <v>0</v>
      </c>
      <c r="Q339" s="153"/>
    </row>
    <row r="340" spans="1:17" s="161" customFormat="1" x14ac:dyDescent="0.25">
      <c r="A340" s="124"/>
      <c r="B340" s="157" t="s">
        <v>319</v>
      </c>
      <c r="C340" s="158"/>
      <c r="D340" s="158" t="s">
        <v>320</v>
      </c>
      <c r="E340" s="159"/>
      <c r="F340" s="158"/>
      <c r="G340" s="41">
        <v>0</v>
      </c>
      <c r="H340" s="41">
        <v>0</v>
      </c>
      <c r="I340" s="42">
        <f t="shared" si="9"/>
        <v>0</v>
      </c>
      <c r="J340" s="43">
        <f t="shared" si="10"/>
        <v>0</v>
      </c>
      <c r="K340" s="160"/>
      <c r="L340" s="160"/>
      <c r="Q340" s="162"/>
    </row>
    <row r="341" spans="1:17" x14ac:dyDescent="0.25">
      <c r="A341" s="1"/>
      <c r="B341" s="163"/>
      <c r="C341" s="164"/>
      <c r="D341" s="164"/>
      <c r="E341" s="111" t="s">
        <v>321</v>
      </c>
      <c r="F341" s="111"/>
      <c r="G341" s="41"/>
      <c r="H341" s="41"/>
      <c r="I341" s="42">
        <f t="shared" si="9"/>
        <v>0</v>
      </c>
      <c r="J341" s="43">
        <f t="shared" si="10"/>
        <v>0</v>
      </c>
      <c r="K341" s="45"/>
      <c r="L341" s="45"/>
    </row>
    <row r="342" spans="1:17" s="69" customFormat="1" x14ac:dyDescent="0.25">
      <c r="A342" s="1">
        <v>5</v>
      </c>
      <c r="B342" s="163" t="s">
        <v>322</v>
      </c>
      <c r="C342" s="164"/>
      <c r="D342" s="164" t="s">
        <v>323</v>
      </c>
      <c r="E342" s="165"/>
      <c r="F342" s="164"/>
      <c r="G342" s="41">
        <f>SUM(G343:G355)</f>
        <v>18362040.059999999</v>
      </c>
      <c r="H342" s="41">
        <f>SUM(H343:H355)</f>
        <v>27348502.279999997</v>
      </c>
      <c r="I342" s="42">
        <f t="shared" si="9"/>
        <v>-8986462.2199999988</v>
      </c>
      <c r="J342" s="43">
        <f t="shared" si="10"/>
        <v>0</v>
      </c>
      <c r="K342" s="68"/>
      <c r="L342" s="68"/>
      <c r="Q342" s="70"/>
    </row>
    <row r="343" spans="1:17" x14ac:dyDescent="0.25">
      <c r="A343" s="166">
        <v>511</v>
      </c>
      <c r="B343" s="163"/>
      <c r="C343" s="164"/>
      <c r="D343" s="164"/>
      <c r="E343" s="62" t="s">
        <v>324</v>
      </c>
      <c r="F343" s="110"/>
      <c r="G343" s="63">
        <f>5106000*1.5</f>
        <v>7659000</v>
      </c>
      <c r="H343" s="49">
        <v>12451273.57</v>
      </c>
      <c r="I343" s="42">
        <f t="shared" si="9"/>
        <v>-4792273.57</v>
      </c>
      <c r="J343" s="43">
        <f t="shared" si="10"/>
        <v>0</v>
      </c>
      <c r="K343" s="68"/>
      <c r="L343" s="45"/>
    </row>
    <row r="344" spans="1:17" x14ac:dyDescent="0.25">
      <c r="A344" s="166">
        <v>512</v>
      </c>
      <c r="B344" s="163"/>
      <c r="C344" s="164"/>
      <c r="D344" s="164"/>
      <c r="E344" s="62" t="s">
        <v>325</v>
      </c>
      <c r="F344" s="110"/>
      <c r="G344" s="76">
        <f>38200+450000</f>
        <v>488200</v>
      </c>
      <c r="H344" s="49">
        <v>541640.11</v>
      </c>
      <c r="I344" s="42">
        <f t="shared" si="9"/>
        <v>-53440.109999999986</v>
      </c>
      <c r="J344" s="43">
        <f t="shared" si="10"/>
        <v>0</v>
      </c>
      <c r="K344" s="45"/>
      <c r="L344" s="45"/>
    </row>
    <row r="345" spans="1:17" x14ac:dyDescent="0.25">
      <c r="A345" s="166"/>
      <c r="B345" s="163"/>
      <c r="C345" s="164"/>
      <c r="D345" s="164"/>
      <c r="E345" s="62"/>
      <c r="F345" s="110"/>
      <c r="G345" s="41"/>
      <c r="H345" s="49"/>
      <c r="I345" s="42">
        <f t="shared" si="9"/>
        <v>0</v>
      </c>
      <c r="J345" s="43">
        <f t="shared" si="10"/>
        <v>0</v>
      </c>
      <c r="K345" s="45"/>
      <c r="L345" s="45"/>
    </row>
    <row r="346" spans="1:17" x14ac:dyDescent="0.25">
      <c r="A346" s="166"/>
      <c r="B346" s="167"/>
      <c r="C346" s="168"/>
      <c r="D346" s="168"/>
      <c r="E346" s="110"/>
      <c r="F346" s="110"/>
      <c r="G346" s="41"/>
      <c r="H346" s="49"/>
      <c r="I346" s="42">
        <f t="shared" si="9"/>
        <v>0</v>
      </c>
      <c r="J346" s="43">
        <f t="shared" si="10"/>
        <v>0</v>
      </c>
      <c r="K346" s="45"/>
      <c r="L346" s="45"/>
    </row>
    <row r="347" spans="1:17" x14ac:dyDescent="0.25">
      <c r="A347" s="166">
        <f>+A344+1</f>
        <v>513</v>
      </c>
      <c r="B347" s="167"/>
      <c r="C347" s="168"/>
      <c r="D347" s="168"/>
      <c r="E347" s="110" t="s">
        <v>326</v>
      </c>
      <c r="F347" s="110"/>
      <c r="G347" s="41">
        <f>316000-562.41</f>
        <v>315437.59000000003</v>
      </c>
      <c r="H347" s="49">
        <v>183615.93</v>
      </c>
      <c r="I347" s="42">
        <f t="shared" si="9"/>
        <v>0</v>
      </c>
      <c r="J347" s="43">
        <f t="shared" si="10"/>
        <v>131821.66000000003</v>
      </c>
      <c r="K347" s="45"/>
      <c r="L347" s="45"/>
    </row>
    <row r="348" spans="1:17" x14ac:dyDescent="0.25">
      <c r="A348" s="166">
        <f>+A347+1</f>
        <v>514</v>
      </c>
      <c r="B348" s="167"/>
      <c r="C348" s="168"/>
      <c r="D348" s="168"/>
      <c r="E348" s="110" t="s">
        <v>327</v>
      </c>
      <c r="F348" s="110"/>
      <c r="G348" s="41">
        <v>3292.8</v>
      </c>
      <c r="H348" s="49">
        <v>1483.67</v>
      </c>
      <c r="I348" s="42">
        <f t="shared" si="9"/>
        <v>0</v>
      </c>
      <c r="J348" s="43">
        <f t="shared" si="10"/>
        <v>1809.13</v>
      </c>
      <c r="K348" s="45"/>
      <c r="L348" s="45"/>
    </row>
    <row r="349" spans="1:17" x14ac:dyDescent="0.25">
      <c r="A349" s="166">
        <f t="shared" ref="A349:A355" si="14">+A348+1</f>
        <v>515</v>
      </c>
      <c r="B349" s="167"/>
      <c r="C349" s="168"/>
      <c r="D349" s="168"/>
      <c r="E349" s="110" t="s">
        <v>328</v>
      </c>
      <c r="F349" s="110"/>
      <c r="G349" s="41">
        <v>9065527.8699999992</v>
      </c>
      <c r="H349" s="49">
        <v>9283593.7300000004</v>
      </c>
      <c r="I349" s="42">
        <f t="shared" si="9"/>
        <v>-218065.86000000127</v>
      </c>
      <c r="J349" s="43">
        <f t="shared" si="10"/>
        <v>0</v>
      </c>
      <c r="K349" s="45"/>
      <c r="L349" s="45"/>
    </row>
    <row r="350" spans="1:17" x14ac:dyDescent="0.25">
      <c r="A350" s="166">
        <f t="shared" si="14"/>
        <v>516</v>
      </c>
      <c r="B350" s="167"/>
      <c r="C350" s="168"/>
      <c r="D350" s="168"/>
      <c r="E350" s="110" t="s">
        <v>329</v>
      </c>
      <c r="F350" s="110"/>
      <c r="G350" s="41">
        <v>250000</v>
      </c>
      <c r="H350" s="49">
        <v>279353.71000000002</v>
      </c>
      <c r="I350" s="42">
        <f t="shared" ref="I350:I363" si="15">IF(G350&gt;H350,0,G350-H350)</f>
        <v>-29353.710000000021</v>
      </c>
      <c r="J350" s="43">
        <f t="shared" ref="J350:J363" si="16">IF(G350&lt;H350,0,G350-H350)</f>
        <v>0</v>
      </c>
      <c r="K350" s="45"/>
      <c r="L350" s="45"/>
    </row>
    <row r="351" spans="1:17" x14ac:dyDescent="0.25">
      <c r="A351" s="166">
        <f t="shared" si="14"/>
        <v>517</v>
      </c>
      <c r="B351" s="167"/>
      <c r="C351" s="168"/>
      <c r="D351" s="168"/>
      <c r="E351" s="110" t="s">
        <v>330</v>
      </c>
      <c r="F351" s="110"/>
      <c r="G351" s="41">
        <v>8581.7999999999993</v>
      </c>
      <c r="H351" s="49">
        <v>0</v>
      </c>
      <c r="I351" s="42">
        <f t="shared" si="15"/>
        <v>0</v>
      </c>
      <c r="J351" s="43">
        <f t="shared" si="16"/>
        <v>8581.7999999999993</v>
      </c>
      <c r="K351" s="45"/>
      <c r="L351" s="45"/>
    </row>
    <row r="352" spans="1:17" x14ac:dyDescent="0.25">
      <c r="A352" s="166">
        <f t="shared" si="14"/>
        <v>518</v>
      </c>
      <c r="B352" s="167"/>
      <c r="C352" s="168"/>
      <c r="D352" s="168"/>
      <c r="E352" s="110" t="s">
        <v>331</v>
      </c>
      <c r="F352" s="110"/>
      <c r="G352" s="41">
        <v>2000</v>
      </c>
      <c r="H352" s="49">
        <v>0</v>
      </c>
      <c r="I352" s="42">
        <f t="shared" si="15"/>
        <v>0</v>
      </c>
      <c r="J352" s="43">
        <f t="shared" si="16"/>
        <v>2000</v>
      </c>
      <c r="K352" s="45"/>
      <c r="L352" s="45"/>
    </row>
    <row r="353" spans="1:17" x14ac:dyDescent="0.25">
      <c r="A353" s="166">
        <f t="shared" si="14"/>
        <v>519</v>
      </c>
      <c r="B353" s="167"/>
      <c r="C353" s="168"/>
      <c r="D353" s="168"/>
      <c r="E353" s="110"/>
      <c r="F353" s="110"/>
      <c r="G353" s="41"/>
      <c r="H353" s="49"/>
      <c r="I353" s="42">
        <f t="shared" si="15"/>
        <v>0</v>
      </c>
      <c r="J353" s="43">
        <f t="shared" si="16"/>
        <v>0</v>
      </c>
      <c r="K353" s="45"/>
      <c r="L353" s="45"/>
    </row>
    <row r="354" spans="1:17" ht="15.75" thickBot="1" x14ac:dyDescent="0.3">
      <c r="A354" s="166">
        <f t="shared" si="14"/>
        <v>520</v>
      </c>
      <c r="B354" s="167"/>
      <c r="C354" s="168"/>
      <c r="D354" s="168"/>
      <c r="E354" s="110" t="s">
        <v>332</v>
      </c>
      <c r="F354" s="169"/>
      <c r="G354" s="41">
        <v>20000</v>
      </c>
      <c r="H354" s="49">
        <v>17181.54</v>
      </c>
      <c r="I354" s="42">
        <f t="shared" si="15"/>
        <v>0</v>
      </c>
      <c r="J354" s="43">
        <f t="shared" si="16"/>
        <v>2818.4599999999991</v>
      </c>
      <c r="K354" s="45"/>
      <c r="L354" s="45"/>
    </row>
    <row r="355" spans="1:17" ht="15.75" thickBot="1" x14ac:dyDescent="0.3">
      <c r="A355" s="166">
        <f t="shared" si="14"/>
        <v>521</v>
      </c>
      <c r="B355" s="170"/>
      <c r="C355" s="170"/>
      <c r="D355" s="170"/>
      <c r="E355" s="169" t="s">
        <v>333</v>
      </c>
      <c r="F355" s="110"/>
      <c r="G355" s="171">
        <v>550000</v>
      </c>
      <c r="H355" s="172">
        <v>4590360.0199999996</v>
      </c>
      <c r="I355" s="42">
        <f t="shared" si="15"/>
        <v>-4040360.0199999996</v>
      </c>
      <c r="J355" s="43">
        <f t="shared" si="16"/>
        <v>0</v>
      </c>
      <c r="K355" s="45"/>
      <c r="L355" s="45"/>
    </row>
    <row r="356" spans="1:17" s="45" customFormat="1" ht="15.75" thickBot="1" x14ac:dyDescent="0.3">
      <c r="A356" s="166"/>
      <c r="B356" s="173"/>
      <c r="C356" s="173"/>
      <c r="D356" s="173"/>
      <c r="E356" s="173"/>
      <c r="F356" s="173"/>
      <c r="G356" s="174"/>
      <c r="H356" s="175"/>
      <c r="I356" s="176">
        <f t="shared" si="15"/>
        <v>0</v>
      </c>
      <c r="J356" s="177">
        <f t="shared" si="16"/>
        <v>0</v>
      </c>
      <c r="Q356" s="44"/>
    </row>
    <row r="357" spans="1:17" s="69" customFormat="1" x14ac:dyDescent="0.25">
      <c r="A357" s="1"/>
      <c r="B357" s="178" t="s">
        <v>334</v>
      </c>
      <c r="C357" s="179"/>
      <c r="D357" s="179"/>
      <c r="E357" s="179"/>
      <c r="F357" s="179"/>
      <c r="G357" s="180">
        <f>+G332+G340</f>
        <v>617678282</v>
      </c>
      <c r="H357" s="180">
        <f>+H332+H340</f>
        <v>576131173.02999997</v>
      </c>
      <c r="I357" s="42">
        <f t="shared" si="15"/>
        <v>0</v>
      </c>
      <c r="J357" s="43">
        <f t="shared" si="16"/>
        <v>41547108.970000029</v>
      </c>
      <c r="K357" s="68"/>
      <c r="L357" s="68"/>
      <c r="Q357" s="70"/>
    </row>
    <row r="358" spans="1:17" s="127" customFormat="1" ht="15.75" thickBot="1" x14ac:dyDescent="0.3">
      <c r="A358" s="181"/>
      <c r="B358" s="182" t="s">
        <v>335</v>
      </c>
      <c r="C358" s="183"/>
      <c r="D358" s="183"/>
      <c r="E358" s="183"/>
      <c r="F358" s="183"/>
      <c r="G358" s="184">
        <f>+G333+G342</f>
        <v>617678282</v>
      </c>
      <c r="H358" s="184">
        <f>+H333+H342</f>
        <v>647904629.63</v>
      </c>
      <c r="I358" s="185">
        <f t="shared" si="15"/>
        <v>-30226347.629999995</v>
      </c>
      <c r="J358" s="186">
        <f t="shared" si="16"/>
        <v>0</v>
      </c>
      <c r="K358" s="126"/>
      <c r="L358" s="126"/>
      <c r="Q358" s="128"/>
    </row>
    <row r="359" spans="1:17" s="127" customFormat="1" ht="15.75" thickBot="1" x14ac:dyDescent="0.3">
      <c r="A359" s="124"/>
      <c r="B359" s="187" t="s">
        <v>336</v>
      </c>
      <c r="C359" s="188"/>
      <c r="D359" s="188"/>
      <c r="E359" s="189"/>
      <c r="F359" s="189"/>
      <c r="G359" s="190">
        <f>+G357-G358</f>
        <v>0</v>
      </c>
      <c r="H359" s="191"/>
      <c r="I359" s="192"/>
      <c r="J359" s="128"/>
      <c r="L359" s="126"/>
      <c r="Q359" s="128"/>
    </row>
    <row r="360" spans="1:17" s="83" customFormat="1" x14ac:dyDescent="0.25">
      <c r="A360" s="193"/>
      <c r="G360" s="194"/>
      <c r="H360" s="84"/>
      <c r="L360" s="82"/>
      <c r="Q360" s="84"/>
    </row>
    <row r="361" spans="1:17" s="83" customFormat="1" x14ac:dyDescent="0.25">
      <c r="A361" s="193"/>
      <c r="C361" s="195"/>
      <c r="D361" s="195"/>
      <c r="E361" s="196"/>
      <c r="F361" s="196"/>
      <c r="G361" s="196"/>
      <c r="H361" s="196"/>
      <c r="I361" s="196"/>
      <c r="J361" s="196"/>
      <c r="K361" s="196"/>
      <c r="L361" s="82"/>
      <c r="N361" s="197"/>
      <c r="O361" s="84"/>
      <c r="P361" s="197"/>
      <c r="Q361" s="84"/>
    </row>
    <row r="362" spans="1:17" s="83" customFormat="1" x14ac:dyDescent="0.25">
      <c r="A362" s="193"/>
      <c r="G362" s="198"/>
      <c r="H362" s="84"/>
      <c r="I362" s="84"/>
      <c r="L362" s="82"/>
      <c r="Q362" s="84"/>
    </row>
    <row r="363" spans="1:17" s="83" customFormat="1" x14ac:dyDescent="0.25">
      <c r="A363" s="193"/>
      <c r="G363" s="198"/>
      <c r="H363" s="84"/>
      <c r="I363" s="199"/>
      <c r="L363" s="82"/>
      <c r="Q363" s="84"/>
    </row>
    <row r="364" spans="1:17" s="83" customFormat="1" x14ac:dyDescent="0.25">
      <c r="A364" s="193"/>
      <c r="G364" s="198"/>
      <c r="H364" s="84"/>
      <c r="I364" s="199"/>
      <c r="L364" s="82"/>
      <c r="Q364" s="84"/>
    </row>
    <row r="365" spans="1:17" s="83" customFormat="1" x14ac:dyDescent="0.25">
      <c r="A365" s="193"/>
      <c r="G365" s="198"/>
      <c r="H365" s="84"/>
      <c r="I365" s="199"/>
      <c r="L365" s="82"/>
      <c r="Q365" s="84"/>
    </row>
    <row r="366" spans="1:17" s="83" customFormat="1" x14ac:dyDescent="0.25">
      <c r="A366" s="193"/>
      <c r="G366" s="198"/>
      <c r="H366" s="84"/>
      <c r="I366" s="199"/>
      <c r="L366" s="82"/>
      <c r="Q366" s="84"/>
    </row>
    <row r="367" spans="1:17" s="83" customFormat="1" x14ac:dyDescent="0.25">
      <c r="A367" s="193"/>
      <c r="G367" s="198"/>
      <c r="H367" s="84"/>
      <c r="I367" s="199"/>
      <c r="L367" s="82"/>
      <c r="Q367" s="84"/>
    </row>
    <row r="368" spans="1:17" s="83" customFormat="1" x14ac:dyDescent="0.25">
      <c r="A368" s="193"/>
      <c r="G368" s="198"/>
      <c r="H368" s="84"/>
      <c r="I368" s="199"/>
      <c r="L368" s="82"/>
      <c r="Q368" s="84"/>
    </row>
    <row r="369" spans="1:17" s="83" customFormat="1" x14ac:dyDescent="0.25">
      <c r="A369" s="193"/>
      <c r="G369" s="198"/>
      <c r="H369" s="84"/>
      <c r="I369" s="199"/>
      <c r="L369" s="82"/>
      <c r="Q369" s="84"/>
    </row>
    <row r="370" spans="1:17" s="83" customFormat="1" x14ac:dyDescent="0.25">
      <c r="A370" s="193"/>
      <c r="G370" s="198"/>
      <c r="H370" s="84"/>
      <c r="I370" s="199"/>
      <c r="L370" s="82"/>
      <c r="Q370" s="84"/>
    </row>
    <row r="371" spans="1:17" s="83" customFormat="1" x14ac:dyDescent="0.25">
      <c r="A371" s="193"/>
      <c r="G371" s="198"/>
      <c r="H371" s="84"/>
      <c r="I371" s="199"/>
      <c r="L371" s="82"/>
      <c r="N371" s="69"/>
      <c r="O371" s="69"/>
      <c r="P371" s="69"/>
      <c r="Q371" s="84"/>
    </row>
    <row r="372" spans="1:17" s="83" customFormat="1" x14ac:dyDescent="0.25">
      <c r="A372" s="193"/>
      <c r="E372" s="200"/>
      <c r="F372" s="200"/>
      <c r="G372" s="200"/>
      <c r="H372" s="200"/>
      <c r="I372" s="200"/>
      <c r="J372" s="200"/>
      <c r="K372" s="200"/>
      <c r="L372" s="82"/>
      <c r="N372" s="69"/>
      <c r="O372" s="69"/>
      <c r="P372" s="69"/>
      <c r="Q372" s="201"/>
    </row>
    <row r="373" spans="1:17" s="83" customFormat="1" x14ac:dyDescent="0.25">
      <c r="A373" s="193"/>
      <c r="E373" s="202"/>
      <c r="F373" s="202"/>
      <c r="G373" s="202"/>
      <c r="H373" s="202"/>
      <c r="I373" s="202"/>
      <c r="J373" s="202"/>
      <c r="K373" s="202"/>
      <c r="L373" s="203" t="s">
        <v>337</v>
      </c>
      <c r="N373" s="69"/>
      <c r="O373" s="69"/>
      <c r="P373" s="69"/>
      <c r="Q373" s="201"/>
    </row>
    <row r="374" spans="1:17" s="83" customFormat="1" x14ac:dyDescent="0.25">
      <c r="A374" s="193"/>
      <c r="E374" s="202"/>
      <c r="F374" s="202"/>
      <c r="G374" s="202"/>
      <c r="H374" s="202"/>
      <c r="I374" s="202"/>
      <c r="J374" s="202"/>
      <c r="K374" s="202"/>
      <c r="L374" s="203" t="s">
        <v>338</v>
      </c>
      <c r="N374" s="69"/>
      <c r="O374" s="70"/>
      <c r="P374" s="69"/>
      <c r="Q374" s="84"/>
    </row>
    <row r="375" spans="1:17" s="83" customFormat="1" x14ac:dyDescent="0.25">
      <c r="A375" s="193"/>
      <c r="E375" s="202"/>
      <c r="F375" s="202"/>
      <c r="G375" s="202"/>
      <c r="H375" s="202"/>
      <c r="I375" s="202"/>
      <c r="J375" s="202"/>
      <c r="K375" s="202"/>
      <c r="L375" s="82"/>
      <c r="N375" s="69"/>
      <c r="O375" s="69"/>
      <c r="P375" s="69"/>
      <c r="Q375" s="84"/>
    </row>
    <row r="376" spans="1:17" s="83" customFormat="1" x14ac:dyDescent="0.25">
      <c r="A376" s="193"/>
      <c r="E376" s="202"/>
      <c r="F376" s="202"/>
      <c r="G376" s="202"/>
      <c r="H376" s="202"/>
      <c r="I376" s="202"/>
      <c r="J376" s="202"/>
      <c r="K376" s="202"/>
      <c r="L376" s="203" t="s">
        <v>339</v>
      </c>
      <c r="N376" s="69"/>
      <c r="O376" s="70"/>
      <c r="P376" s="69"/>
      <c r="Q376" s="84"/>
    </row>
    <row r="377" spans="1:17" s="83" customFormat="1" x14ac:dyDescent="0.25">
      <c r="A377" s="193"/>
      <c r="E377" s="202"/>
      <c r="F377" s="202"/>
      <c r="G377" s="202"/>
      <c r="H377" s="202"/>
      <c r="I377" s="202"/>
      <c r="J377" s="202"/>
      <c r="K377" s="202"/>
      <c r="L377" s="82"/>
      <c r="N377" s="69"/>
      <c r="O377" s="70"/>
      <c r="P377" s="69"/>
      <c r="Q377" s="84"/>
    </row>
    <row r="378" spans="1:17" s="83" customFormat="1" x14ac:dyDescent="0.25">
      <c r="A378" s="193"/>
      <c r="E378" s="202"/>
      <c r="F378" s="202"/>
      <c r="G378" s="202"/>
      <c r="H378" s="202"/>
      <c r="I378" s="202"/>
      <c r="J378" s="202"/>
      <c r="K378" s="202"/>
      <c r="L378" s="82"/>
      <c r="N378" s="69"/>
      <c r="O378" s="69"/>
      <c r="P378"/>
      <c r="Q378" s="84"/>
    </row>
    <row r="379" spans="1:17" s="83" customFormat="1" x14ac:dyDescent="0.25">
      <c r="A379" s="193"/>
      <c r="E379" s="204"/>
      <c r="F379" s="204"/>
      <c r="G379" s="205"/>
      <c r="H379" s="206"/>
      <c r="I379" s="204"/>
      <c r="J379" s="204"/>
      <c r="K379" s="204"/>
      <c r="L379" s="82"/>
      <c r="N379" s="69"/>
      <c r="O379" s="69"/>
      <c r="P379" s="69"/>
      <c r="Q379" s="84"/>
    </row>
    <row r="380" spans="1:17" s="83" customFormat="1" x14ac:dyDescent="0.25">
      <c r="A380" s="193"/>
      <c r="E380" s="204"/>
      <c r="F380" s="204"/>
      <c r="G380" s="206"/>
      <c r="H380" s="206"/>
      <c r="I380" s="204"/>
      <c r="J380" s="204"/>
      <c r="K380" s="204"/>
      <c r="L380" s="82"/>
      <c r="N380" s="69"/>
      <c r="O380" s="69"/>
      <c r="P380" s="69"/>
      <c r="Q380" s="84"/>
    </row>
    <row r="381" spans="1:17" s="83" customFormat="1" x14ac:dyDescent="0.25">
      <c r="A381" s="193"/>
      <c r="E381" s="204"/>
      <c r="F381" s="204"/>
      <c r="G381" s="204"/>
      <c r="H381" s="206"/>
      <c r="I381" s="204"/>
      <c r="J381" s="204"/>
      <c r="K381" s="204"/>
      <c r="L381" s="82"/>
      <c r="N381" s="69"/>
      <c r="O381" s="69"/>
      <c r="P381" s="69"/>
      <c r="Q381" s="84"/>
    </row>
    <row r="382" spans="1:17" s="83" customFormat="1" x14ac:dyDescent="0.25">
      <c r="A382" s="193"/>
      <c r="E382" s="202"/>
      <c r="F382" s="202"/>
      <c r="G382" s="202"/>
      <c r="H382" s="202"/>
      <c r="I382" s="202"/>
      <c r="J382" s="202"/>
      <c r="K382" s="202"/>
      <c r="L382" s="82"/>
      <c r="N382" s="69"/>
      <c r="O382" s="69"/>
      <c r="P382" s="69"/>
      <c r="Q382" s="84"/>
    </row>
    <row r="383" spans="1:17" s="83" customFormat="1" x14ac:dyDescent="0.25">
      <c r="A383" s="193"/>
      <c r="E383" s="202"/>
      <c r="F383" s="202"/>
      <c r="G383" s="202"/>
      <c r="H383" s="202"/>
      <c r="I383" s="202"/>
      <c r="J383" s="202"/>
      <c r="K383" s="202"/>
      <c r="L383" s="82"/>
      <c r="N383" s="69"/>
      <c r="O383" s="69"/>
      <c r="P383" s="69"/>
      <c r="Q383" s="84"/>
    </row>
    <row r="384" spans="1:17" s="83" customFormat="1" x14ac:dyDescent="0.25">
      <c r="A384" s="193"/>
      <c r="E384" s="202"/>
      <c r="F384" s="202"/>
      <c r="G384" s="202"/>
      <c r="H384" s="202"/>
      <c r="I384" s="202"/>
      <c r="J384" s="202"/>
      <c r="K384" s="202"/>
      <c r="L384" s="82"/>
      <c r="N384" s="197"/>
      <c r="Q384" s="84"/>
    </row>
    <row r="385" spans="1:17" s="83" customFormat="1" x14ac:dyDescent="0.25">
      <c r="A385" s="193"/>
      <c r="G385" s="198"/>
      <c r="H385" s="84"/>
      <c r="I385" s="199"/>
      <c r="L385" s="82"/>
      <c r="Q385" s="84"/>
    </row>
    <row r="386" spans="1:17" s="83" customFormat="1" x14ac:dyDescent="0.25">
      <c r="A386" s="193"/>
      <c r="E386" s="207"/>
      <c r="F386" s="207"/>
      <c r="G386" s="207"/>
      <c r="H386" s="207"/>
      <c r="I386" s="207"/>
      <c r="J386" s="207"/>
      <c r="K386" s="207"/>
      <c r="L386" s="82"/>
      <c r="Q386" s="84"/>
    </row>
    <row r="387" spans="1:17" s="83" customFormat="1" x14ac:dyDescent="0.25">
      <c r="A387" s="193"/>
      <c r="E387" s="208"/>
      <c r="F387" s="208"/>
      <c r="G387" s="209"/>
      <c r="H387" s="210"/>
      <c r="I387" s="211"/>
      <c r="J387" s="208"/>
      <c r="K387" s="208"/>
      <c r="L387" s="82"/>
      <c r="Q387" s="84"/>
    </row>
    <row r="388" spans="1:17" s="83" customFormat="1" x14ac:dyDescent="0.25">
      <c r="A388" s="193"/>
      <c r="E388" s="208"/>
      <c r="F388" s="208"/>
      <c r="G388" s="209"/>
      <c r="H388" s="210"/>
      <c r="I388" s="211"/>
      <c r="J388" s="208"/>
      <c r="K388" s="208"/>
      <c r="L388" s="82"/>
      <c r="Q388" s="84"/>
    </row>
    <row r="389" spans="1:17" s="83" customFormat="1" x14ac:dyDescent="0.25">
      <c r="A389" s="193"/>
      <c r="E389" s="208"/>
      <c r="F389" s="208"/>
      <c r="G389" s="209"/>
      <c r="H389" s="210"/>
      <c r="I389" s="211"/>
      <c r="J389" s="208"/>
      <c r="K389" s="208"/>
      <c r="L389" s="82"/>
      <c r="Q389" s="84"/>
    </row>
    <row r="390" spans="1:17" s="83" customFormat="1" x14ac:dyDescent="0.25">
      <c r="A390" s="193"/>
      <c r="E390" s="208"/>
      <c r="F390" s="208"/>
      <c r="G390" s="209"/>
      <c r="H390" s="210"/>
      <c r="I390" s="211"/>
      <c r="J390" s="208"/>
      <c r="K390" s="208"/>
      <c r="L390" s="82"/>
      <c r="Q390" s="84"/>
    </row>
    <row r="391" spans="1:17" s="83" customFormat="1" x14ac:dyDescent="0.25">
      <c r="A391" s="193"/>
      <c r="E391" s="212"/>
      <c r="F391" s="208"/>
      <c r="G391" s="209"/>
      <c r="H391" s="210"/>
      <c r="I391" s="211"/>
      <c r="J391" s="208"/>
      <c r="K391" s="208"/>
      <c r="L391" s="82"/>
      <c r="Q391" s="84"/>
    </row>
    <row r="392" spans="1:17" s="83" customFormat="1" x14ac:dyDescent="0.25">
      <c r="A392" s="193"/>
      <c r="G392" s="198"/>
      <c r="H392" s="84"/>
      <c r="I392" s="199"/>
      <c r="L392" s="82"/>
      <c r="Q392" s="84"/>
    </row>
    <row r="393" spans="1:17" s="83" customFormat="1" x14ac:dyDescent="0.25">
      <c r="A393" s="193"/>
      <c r="G393" s="198"/>
      <c r="H393" s="84"/>
      <c r="I393" s="199"/>
      <c r="L393" s="82"/>
      <c r="Q393" s="84"/>
    </row>
    <row r="394" spans="1:17" s="83" customFormat="1" x14ac:dyDescent="0.25">
      <c r="A394" s="193"/>
      <c r="E394" s="207"/>
      <c r="F394" s="207"/>
      <c r="G394" s="207"/>
      <c r="H394" s="207"/>
      <c r="I394" s="207"/>
      <c r="J394" s="207"/>
      <c r="K394" s="207"/>
      <c r="L394" s="82"/>
      <c r="Q394" s="84"/>
    </row>
    <row r="395" spans="1:17" s="83" customFormat="1" x14ac:dyDescent="0.25">
      <c r="A395" s="193"/>
      <c r="G395" s="198"/>
      <c r="H395" s="84"/>
      <c r="I395" s="199"/>
      <c r="L395" s="82"/>
      <c r="Q395" s="84"/>
    </row>
    <row r="396" spans="1:17" s="83" customFormat="1" x14ac:dyDescent="0.25">
      <c r="A396" s="193"/>
      <c r="G396" s="198"/>
      <c r="H396" s="84"/>
      <c r="I396" s="199"/>
      <c r="L396" s="82"/>
      <c r="Q396" s="84"/>
    </row>
    <row r="397" spans="1:17" s="83" customFormat="1" x14ac:dyDescent="0.25">
      <c r="A397" s="193"/>
      <c r="G397" s="198"/>
      <c r="H397" s="84"/>
      <c r="I397" s="199"/>
      <c r="L397" s="82"/>
      <c r="Q397" s="84"/>
    </row>
    <row r="398" spans="1:17" s="83" customFormat="1" x14ac:dyDescent="0.25">
      <c r="A398" s="193"/>
      <c r="G398" s="198"/>
      <c r="H398" s="84"/>
      <c r="I398" s="199"/>
      <c r="L398" s="82"/>
      <c r="Q398" s="84"/>
    </row>
    <row r="399" spans="1:17" s="83" customFormat="1" x14ac:dyDescent="0.25">
      <c r="A399" s="193"/>
      <c r="G399" s="198"/>
      <c r="H399" s="84"/>
      <c r="I399" s="199"/>
      <c r="L399" s="82"/>
      <c r="Q399" s="84"/>
    </row>
    <row r="400" spans="1:17" s="83" customFormat="1" x14ac:dyDescent="0.25">
      <c r="A400" s="193"/>
      <c r="G400" s="198"/>
      <c r="H400" s="84"/>
      <c r="I400" s="199"/>
      <c r="L400" s="82"/>
      <c r="Q400" s="84"/>
    </row>
    <row r="401" spans="1:17" s="83" customFormat="1" x14ac:dyDescent="0.25">
      <c r="A401" s="193"/>
      <c r="G401" s="198"/>
      <c r="H401" s="84"/>
      <c r="I401" s="199"/>
      <c r="L401" s="82"/>
      <c r="Q401" s="84"/>
    </row>
    <row r="402" spans="1:17" s="83" customFormat="1" x14ac:dyDescent="0.25">
      <c r="A402" s="193"/>
      <c r="G402" s="198"/>
      <c r="H402" s="84"/>
      <c r="I402" s="199"/>
      <c r="L402" s="82"/>
      <c r="Q402" s="84"/>
    </row>
    <row r="403" spans="1:17" s="83" customFormat="1" x14ac:dyDescent="0.25">
      <c r="A403" s="193"/>
      <c r="G403" s="198"/>
      <c r="H403" s="84"/>
      <c r="I403" s="199"/>
      <c r="L403" s="82"/>
      <c r="Q403" s="84"/>
    </row>
    <row r="404" spans="1:17" s="83" customFormat="1" x14ac:dyDescent="0.25">
      <c r="A404" s="193"/>
      <c r="G404" s="198"/>
      <c r="H404" s="84"/>
      <c r="I404" s="199"/>
      <c r="L404" s="82"/>
      <c r="Q404" s="84"/>
    </row>
    <row r="405" spans="1:17" s="83" customFormat="1" x14ac:dyDescent="0.25">
      <c r="A405" s="193"/>
      <c r="G405" s="198"/>
      <c r="H405" s="84"/>
      <c r="I405" s="199"/>
      <c r="L405" s="82"/>
      <c r="Q405" s="84"/>
    </row>
    <row r="406" spans="1:17" s="83" customFormat="1" x14ac:dyDescent="0.25">
      <c r="A406" s="193"/>
      <c r="G406" s="198"/>
      <c r="H406" s="84"/>
      <c r="I406" s="199"/>
      <c r="L406" s="82"/>
      <c r="Q406" s="84"/>
    </row>
    <row r="407" spans="1:17" s="83" customFormat="1" x14ac:dyDescent="0.25">
      <c r="A407" s="193"/>
      <c r="G407" s="198"/>
      <c r="H407" s="84"/>
      <c r="I407" s="199"/>
      <c r="L407" s="82"/>
      <c r="Q407" s="84"/>
    </row>
    <row r="408" spans="1:17" s="83" customFormat="1" x14ac:dyDescent="0.25">
      <c r="A408" s="193"/>
      <c r="G408" s="198"/>
      <c r="H408" s="84"/>
      <c r="I408" s="199"/>
      <c r="L408" s="82"/>
      <c r="Q408" s="84"/>
    </row>
    <row r="409" spans="1:17" s="83" customFormat="1" x14ac:dyDescent="0.25">
      <c r="A409" s="193"/>
      <c r="G409" s="198"/>
      <c r="H409" s="84"/>
      <c r="I409" s="199"/>
      <c r="L409" s="82"/>
      <c r="Q409" s="84"/>
    </row>
    <row r="410" spans="1:17" s="83" customFormat="1" x14ac:dyDescent="0.25">
      <c r="A410" s="193"/>
      <c r="G410" s="198"/>
      <c r="H410" s="84"/>
      <c r="I410" s="199"/>
      <c r="L410" s="82"/>
      <c r="Q410" s="84"/>
    </row>
    <row r="411" spans="1:17" s="83" customFormat="1" x14ac:dyDescent="0.25">
      <c r="A411" s="193"/>
      <c r="G411" s="198"/>
      <c r="H411" s="84"/>
      <c r="I411" s="199"/>
      <c r="L411" s="82"/>
      <c r="Q411" s="84"/>
    </row>
    <row r="412" spans="1:17" s="83" customFormat="1" x14ac:dyDescent="0.25">
      <c r="A412" s="193"/>
      <c r="G412" s="198"/>
      <c r="H412" s="84"/>
      <c r="I412" s="199"/>
      <c r="L412" s="82"/>
      <c r="Q412" s="84"/>
    </row>
    <row r="413" spans="1:17" s="83" customFormat="1" x14ac:dyDescent="0.25">
      <c r="A413" s="193"/>
      <c r="G413" s="198"/>
      <c r="H413" s="84"/>
      <c r="I413" s="199"/>
      <c r="L413" s="82"/>
      <c r="Q413" s="84"/>
    </row>
    <row r="414" spans="1:17" x14ac:dyDescent="0.25">
      <c r="L414" s="45"/>
    </row>
    <row r="415" spans="1:17" x14ac:dyDescent="0.25">
      <c r="A415"/>
      <c r="G415" s="83"/>
      <c r="H415" s="83"/>
      <c r="I415"/>
      <c r="L415" s="45"/>
      <c r="Q415"/>
    </row>
    <row r="416" spans="1:17" x14ac:dyDescent="0.25">
      <c r="A416"/>
      <c r="G416" s="83"/>
      <c r="H416" s="83"/>
      <c r="I416"/>
      <c r="L416" s="45"/>
      <c r="Q416"/>
    </row>
    <row r="417" spans="1:17" x14ac:dyDescent="0.25">
      <c r="A417"/>
      <c r="G417" s="83"/>
      <c r="H417" s="83"/>
      <c r="I417"/>
      <c r="L417" s="45"/>
      <c r="Q417"/>
    </row>
    <row r="418" spans="1:17" x14ac:dyDescent="0.25">
      <c r="A418"/>
      <c r="G418" s="83"/>
      <c r="H418" s="83"/>
      <c r="I418"/>
      <c r="L418" s="45"/>
      <c r="Q418"/>
    </row>
    <row r="419" spans="1:17" x14ac:dyDescent="0.25">
      <c r="A419"/>
      <c r="G419" s="83"/>
      <c r="H419" s="83"/>
      <c r="I419"/>
      <c r="L419" s="45"/>
      <c r="Q419"/>
    </row>
    <row r="420" spans="1:17" x14ac:dyDescent="0.25">
      <c r="A420"/>
      <c r="G420" s="83"/>
      <c r="H420" s="83"/>
      <c r="I420"/>
      <c r="L420" s="45"/>
      <c r="Q420"/>
    </row>
    <row r="421" spans="1:17" x14ac:dyDescent="0.25">
      <c r="A421"/>
      <c r="G421" s="83"/>
      <c r="H421" s="83"/>
      <c r="I421"/>
      <c r="L421" s="45"/>
      <c r="Q421"/>
    </row>
    <row r="422" spans="1:17" x14ac:dyDescent="0.25">
      <c r="A422"/>
      <c r="G422" s="83"/>
      <c r="H422" s="83"/>
      <c r="I422"/>
      <c r="L422" s="45"/>
      <c r="Q422"/>
    </row>
    <row r="423" spans="1:17" x14ac:dyDescent="0.25">
      <c r="A423"/>
      <c r="G423" s="83"/>
      <c r="H423" s="83"/>
      <c r="I423"/>
      <c r="L423" s="45"/>
      <c r="Q423"/>
    </row>
    <row r="424" spans="1:17" x14ac:dyDescent="0.25">
      <c r="A424"/>
      <c r="G424" s="83"/>
      <c r="H424" s="83"/>
      <c r="I424"/>
      <c r="L424" s="45"/>
      <c r="Q424"/>
    </row>
    <row r="425" spans="1:17" x14ac:dyDescent="0.25">
      <c r="A425"/>
      <c r="G425" s="83"/>
      <c r="H425" s="83"/>
      <c r="I425"/>
      <c r="L425" s="45"/>
      <c r="Q425"/>
    </row>
    <row r="426" spans="1:17" x14ac:dyDescent="0.25">
      <c r="A426"/>
      <c r="G426" s="83"/>
      <c r="H426" s="83"/>
      <c r="I426"/>
      <c r="L426" s="45"/>
      <c r="Q426"/>
    </row>
    <row r="427" spans="1:17" x14ac:dyDescent="0.25">
      <c r="A427"/>
      <c r="G427" s="83"/>
      <c r="H427" s="83"/>
      <c r="I427"/>
      <c r="L427" s="45"/>
      <c r="Q427"/>
    </row>
    <row r="428" spans="1:17" x14ac:dyDescent="0.25">
      <c r="A428"/>
      <c r="G428" s="83"/>
      <c r="H428" s="83"/>
      <c r="I428"/>
      <c r="Q428"/>
    </row>
    <row r="429" spans="1:17" x14ac:dyDescent="0.25">
      <c r="A429"/>
      <c r="G429" s="83"/>
      <c r="H429" s="83"/>
      <c r="I429"/>
      <c r="Q429"/>
    </row>
    <row r="430" spans="1:17" x14ac:dyDescent="0.25">
      <c r="A430"/>
      <c r="G430" s="83"/>
      <c r="H430" s="83"/>
      <c r="I430"/>
      <c r="Q430"/>
    </row>
    <row r="431" spans="1:17" x14ac:dyDescent="0.25">
      <c r="A431"/>
      <c r="G431" s="83"/>
      <c r="H431" s="83"/>
      <c r="I431"/>
      <c r="Q431"/>
    </row>
  </sheetData>
  <mergeCells count="19">
    <mergeCell ref="E394:K394"/>
    <mergeCell ref="E377:K377"/>
    <mergeCell ref="E378:K378"/>
    <mergeCell ref="E382:K382"/>
    <mergeCell ref="E383:K383"/>
    <mergeCell ref="E384:K384"/>
    <mergeCell ref="E386:K386"/>
    <mergeCell ref="E361:K361"/>
    <mergeCell ref="E372:K372"/>
    <mergeCell ref="E373:K373"/>
    <mergeCell ref="E374:K374"/>
    <mergeCell ref="E375:K375"/>
    <mergeCell ref="E376:K376"/>
    <mergeCell ref="B2:G2"/>
    <mergeCell ref="B3:G3"/>
    <mergeCell ref="B4:E5"/>
    <mergeCell ref="K4:K5"/>
    <mergeCell ref="L4:L5"/>
    <mergeCell ref="F223:F22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2023-07-25T13:41:55Z</dcterms:created>
  <dcterms:modified xsi:type="dcterms:W3CDTF">2023-07-25T13:43:44Z</dcterms:modified>
</cp:coreProperties>
</file>